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Acer\Desktop\"/>
    </mc:Choice>
  </mc:AlternateContent>
  <xr:revisionPtr revIDLastSave="0" documentId="13_ncr:1_{61EF58D0-57E4-4667-9617-351A845EB09F}" xr6:coauthVersionLast="43" xr6:coauthVersionMax="47" xr10:uidLastSave="{00000000-0000-0000-0000-000000000000}"/>
  <bookViews>
    <workbookView xWindow="-120" yWindow="-120" windowWidth="20730" windowHeight="11160" firstSheet="13" activeTab="17" xr2:uid="{1D1E3833-1FAE-4542-A176-B326B15C2F8E}"/>
  </bookViews>
  <sheets>
    <sheet name="Cover Page" sheetId="5" r:id="rId1"/>
    <sheet name="Index" sheetId="20" r:id="rId2"/>
    <sheet name="Business Summary" sheetId="15" r:id="rId3"/>
    <sheet name="Valuation Summary" sheetId="31" r:id="rId4"/>
    <sheet name="Football Field Analysis" sheetId="32" r:id="rId5"/>
    <sheet name="FS Summary" sheetId="9" r:id="rId6"/>
    <sheet name="Key Ratios" sheetId="11" r:id="rId7"/>
    <sheet name="Historical and Forecasted FS&gt;&gt;" sheetId="16" r:id="rId8"/>
    <sheet name="IS" sheetId="6" r:id="rId9"/>
    <sheet name="BS" sheetId="3" r:id="rId10"/>
    <sheet name="CFS" sheetId="4" r:id="rId11"/>
    <sheet name="Assumptions&gt;&gt;" sheetId="18" r:id="rId12"/>
    <sheet name="IS Assumptions" sheetId="19" r:id="rId13"/>
    <sheet name="BS Assumptions " sheetId="21" r:id="rId14"/>
    <sheet name="Equity Schedule" sheetId="23" r:id="rId15"/>
    <sheet name="Debt Schedule" sheetId="22" r:id="rId16"/>
    <sheet name="Income Approach" sheetId="33" r:id="rId17"/>
    <sheet name="DCF" sheetId="25" r:id="rId18"/>
    <sheet name="WACC" sheetId="24" r:id="rId19"/>
    <sheet name="Beta" sheetId="28" r:id="rId20"/>
    <sheet name="Risk Free Rate" sheetId="26" r:id="rId21"/>
    <sheet name="Notes" sheetId="1" state="hidden" r:id="rId22"/>
    <sheet name="working" sheetId="13" state="hidden" r:id="rId23"/>
    <sheet name="Market Approach" sheetId="35" r:id="rId24"/>
    <sheet name="GPC" sheetId="29" r:id="rId25"/>
    <sheet name="Cost Approach" sheetId="34" r:id="rId26"/>
    <sheet name="NAV" sheetId="30" r:id="rId27"/>
    <sheet name="Charts" sheetId="12" r:id="rId28"/>
  </sheets>
  <externalReferences>
    <externalReference r:id="rId29"/>
  </externalReferences>
  <definedNames>
    <definedName name="_xlnm._FilterDatabase" localSheetId="19" hidden="1">Beta!$A$27:$E$1285</definedName>
    <definedName name="_xlnm._FilterDatabase" localSheetId="13" hidden="1">'BS Assumptions '!$B$9:$L$77</definedName>
    <definedName name="_xlnm._FilterDatabase" localSheetId="5" hidden="1">'FS Summary'!$B$11:$L$50</definedName>
    <definedName name="_xlnm._FilterDatabase" localSheetId="12" hidden="1">'IS Assumptions'!$B$14:$L$46</definedName>
    <definedName name="Beta">#REF!</definedName>
    <definedName name="_xlnm.Print_Area" localSheetId="19">Beta!$A$1:$I$1247</definedName>
    <definedName name="_xlnm.Print_Area" localSheetId="9">BS!$A$1:$M$61</definedName>
    <definedName name="_xlnm.Print_Area" localSheetId="13">'BS Assumptions '!$A$1:$M$80</definedName>
    <definedName name="_xlnm.Print_Area" localSheetId="2">'Business Summary'!$A$1:$P$235</definedName>
    <definedName name="_xlnm.Print_Area" localSheetId="10">CFS!$A$1:$M$64</definedName>
    <definedName name="_xlnm.Print_Area" localSheetId="27">Charts!$A$1:$M$140</definedName>
    <definedName name="_xlnm.Print_Area" localSheetId="0">'Cover Page'!$A$1:$Q$38</definedName>
    <definedName name="_xlnm.Print_Area" localSheetId="17">DCF!$A$1:$M$79</definedName>
    <definedName name="_xlnm.Print_Area" localSheetId="15">'Debt Schedule'!$A$1:$M$50</definedName>
    <definedName name="_xlnm.Print_Area" localSheetId="14">'Equity Schedule'!$A$1:$M$56</definedName>
    <definedName name="_xlnm.Print_Area" localSheetId="4">'Football Field Analysis'!$A$1:$G$32</definedName>
    <definedName name="_xlnm.Print_Area" localSheetId="5">'FS Summary'!$A$1:$M$50</definedName>
    <definedName name="_xlnm.Print_Area" localSheetId="24">GPC!$A$1:$I$75</definedName>
    <definedName name="_xlnm.Print_Area" localSheetId="1">Index!$A$1:$M$34</definedName>
    <definedName name="_xlnm.Print_Area" localSheetId="8">IS!$A$1:$M$30</definedName>
    <definedName name="_xlnm.Print_Area" localSheetId="12">'IS Assumptions'!$A$1:$M$82</definedName>
    <definedName name="_xlnm.Print_Area" localSheetId="6">'Key Ratios'!$A$1:$M$58</definedName>
    <definedName name="_xlnm.Print_Area" localSheetId="26">NAV!$A$1:$I$39</definedName>
    <definedName name="_xlnm.Print_Area" localSheetId="20">'Risk Free Rate'!$A$1:$P$56</definedName>
    <definedName name="_xlnm.Print_Area" localSheetId="3">'Valuation Summary'!$A$1:$H$32</definedName>
    <definedName name="_xlnm.Print_Area" localSheetId="18">WACC!$A$1:$J$29</definedName>
    <definedName name="_xlnm.Print_Titles" localSheetId="9">BS!$1:$10</definedName>
    <definedName name="_xlnm.Print_Titles" localSheetId="13">'BS Assumptions '!$1:$10</definedName>
    <definedName name="_xlnm.Print_Titles" localSheetId="2">'Business Summary'!#REF!</definedName>
    <definedName name="_xlnm.Print_Titles" localSheetId="27">Charts!$A:$B,Charts!$1:$10</definedName>
    <definedName name="_xlnm.Print_Titles" localSheetId="17">DCF!$1:$16</definedName>
    <definedName name="_xlnm.Print_Titles" localSheetId="12">'IS Assumptions'!$1:$8</definedName>
    <definedName name="_xlnm.Print_Titles" localSheetId="20">'Risk Free Rate'!$1:$8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4" i="25" l="1"/>
  <c r="C12" i="25"/>
  <c r="D53" i="25"/>
  <c r="D44" i="25"/>
  <c r="I23" i="25"/>
  <c r="J23" i="25"/>
  <c r="K23" i="25"/>
  <c r="L23" i="25"/>
  <c r="H23" i="25"/>
  <c r="G18" i="12" l="1"/>
  <c r="G20" i="12" s="1"/>
  <c r="AH251" i="15" l="1"/>
  <c r="AH252" i="15"/>
  <c r="AH253" i="15"/>
  <c r="AH254" i="15"/>
  <c r="N214" i="15"/>
  <c r="L214" i="15"/>
  <c r="J214" i="15"/>
  <c r="H214" i="15"/>
  <c r="F214" i="15"/>
  <c r="G53" i="23" l="1"/>
  <c r="C18" i="12"/>
  <c r="C20" i="12" s="1"/>
  <c r="C32" i="12" s="1"/>
  <c r="C24" i="12"/>
  <c r="C25" i="12"/>
  <c r="C26" i="12"/>
  <c r="C27" i="12"/>
  <c r="C28" i="12"/>
  <c r="C31" i="12"/>
  <c r="C29" i="12" l="1"/>
  <c r="G54" i="4" l="1"/>
  <c r="C10" i="31" l="1"/>
  <c r="B24" i="31"/>
  <c r="E26" i="31"/>
  <c r="E27" i="31"/>
  <c r="C31" i="23" l="1"/>
  <c r="C32" i="23" s="1"/>
  <c r="I52" i="23" l="1"/>
  <c r="H52" i="23"/>
  <c r="J52" i="23"/>
  <c r="F44" i="23"/>
  <c r="E44" i="23"/>
  <c r="D44" i="23"/>
  <c r="C44" i="23"/>
  <c r="F34" i="23"/>
  <c r="E34" i="23"/>
  <c r="D34" i="23"/>
  <c r="C34" i="23"/>
  <c r="G34" i="23"/>
  <c r="K52" i="23" l="1"/>
  <c r="C49" i="4" l="1"/>
  <c r="C38" i="4"/>
  <c r="C55" i="3"/>
  <c r="C53" i="3"/>
  <c r="C51" i="3"/>
  <c r="C42" i="3"/>
  <c r="C40" i="3"/>
  <c r="C35" i="3"/>
  <c r="C26" i="3"/>
  <c r="C24" i="3"/>
  <c r="C17" i="3"/>
  <c r="D19" i="28" l="1"/>
  <c r="D52" i="19" l="1"/>
  <c r="E52" i="19" s="1"/>
  <c r="F52" i="19" s="1"/>
  <c r="G52" i="19" s="1"/>
  <c r="H52" i="19" s="1"/>
  <c r="I52" i="19" s="1"/>
  <c r="J52" i="19" s="1"/>
  <c r="K52" i="19" s="1"/>
  <c r="L52" i="19" s="1"/>
  <c r="C11" i="29" l="1"/>
  <c r="C13" i="29"/>
  <c r="C38" i="29"/>
  <c r="D16" i="29"/>
  <c r="C53" i="29"/>
  <c r="E53" i="29"/>
  <c r="A31" i="29"/>
  <c r="A32" i="29"/>
  <c r="A33" i="29"/>
  <c r="D46" i="29"/>
  <c r="C46" i="29" s="1"/>
  <c r="D47" i="29"/>
  <c r="C47" i="29" s="1"/>
  <c r="D48" i="29"/>
  <c r="C48" i="29" s="1"/>
  <c r="D49" i="29"/>
  <c r="C49" i="29" s="1"/>
  <c r="C44" i="29"/>
  <c r="C43" i="29"/>
  <c r="C41" i="29"/>
  <c r="D50" i="29"/>
  <c r="C50" i="29" s="1"/>
  <c r="E59" i="29"/>
  <c r="E58" i="29"/>
  <c r="E57" i="29"/>
  <c r="C59" i="29"/>
  <c r="C58" i="29"/>
  <c r="C57" i="29"/>
  <c r="D9" i="30"/>
  <c r="I71" i="25" l="1"/>
  <c r="H71" i="25" s="1"/>
  <c r="K71" i="25"/>
  <c r="L71" i="25" s="1"/>
  <c r="K62" i="25"/>
  <c r="L62" i="25" s="1"/>
  <c r="G75" i="25"/>
  <c r="G76" i="25" s="1"/>
  <c r="G73" i="25"/>
  <c r="G72" i="25" s="1"/>
  <c r="G66" i="25"/>
  <c r="G67" i="25" s="1"/>
  <c r="G64" i="25"/>
  <c r="G63" i="25" s="1"/>
  <c r="I62" i="25"/>
  <c r="H62" i="25" s="1"/>
  <c r="C68" i="29" l="1"/>
  <c r="C67" i="29"/>
  <c r="C66" i="29"/>
  <c r="D62" i="25"/>
  <c r="D64" i="25"/>
  <c r="D42" i="29" l="1"/>
  <c r="C42" i="29" s="1"/>
  <c r="E25" i="29"/>
  <c r="E24" i="29"/>
  <c r="E23" i="29"/>
  <c r="E22" i="29"/>
  <c r="E11" i="29" s="1"/>
  <c r="D73" i="25"/>
  <c r="D72" i="25"/>
  <c r="D63" i="25"/>
  <c r="D71" i="25"/>
  <c r="E1285" i="28" l="1"/>
  <c r="C1285" i="28"/>
  <c r="E1284" i="28"/>
  <c r="C1284" i="28"/>
  <c r="E1283" i="28"/>
  <c r="C1283" i="28"/>
  <c r="E1282" i="28"/>
  <c r="C1282" i="28"/>
  <c r="E1281" i="28"/>
  <c r="C1281" i="28"/>
  <c r="E1280" i="28"/>
  <c r="C1280" i="28"/>
  <c r="E1279" i="28"/>
  <c r="C1279" i="28"/>
  <c r="E1278" i="28"/>
  <c r="C1278" i="28"/>
  <c r="E1277" i="28"/>
  <c r="C1277" i="28"/>
  <c r="E1276" i="28"/>
  <c r="C1276" i="28"/>
  <c r="E1275" i="28"/>
  <c r="C1275" i="28"/>
  <c r="E1274" i="28"/>
  <c r="C1274" i="28"/>
  <c r="E1273" i="28"/>
  <c r="C1273" i="28"/>
  <c r="E1272" i="28"/>
  <c r="C1272" i="28"/>
  <c r="E1271" i="28"/>
  <c r="C1271" i="28"/>
  <c r="E1270" i="28"/>
  <c r="C1270" i="28"/>
  <c r="E1269" i="28"/>
  <c r="C1269" i="28"/>
  <c r="E1268" i="28"/>
  <c r="C1268" i="28"/>
  <c r="E1267" i="28"/>
  <c r="C1267" i="28"/>
  <c r="E1266" i="28"/>
  <c r="C1266" i="28"/>
  <c r="E1265" i="28"/>
  <c r="C1265" i="28"/>
  <c r="E1264" i="28"/>
  <c r="C1264" i="28"/>
  <c r="E1263" i="28"/>
  <c r="C1263" i="28"/>
  <c r="E1262" i="28"/>
  <c r="C1262" i="28"/>
  <c r="E1261" i="28"/>
  <c r="C1261" i="28"/>
  <c r="E1260" i="28"/>
  <c r="C1260" i="28"/>
  <c r="E1259" i="28"/>
  <c r="C1259" i="28"/>
  <c r="E1258" i="28"/>
  <c r="C1258" i="28"/>
  <c r="E1257" i="28"/>
  <c r="C1257" i="28"/>
  <c r="E1256" i="28"/>
  <c r="C1256" i="28"/>
  <c r="E1255" i="28"/>
  <c r="C1255" i="28"/>
  <c r="E1254" i="28"/>
  <c r="C1254" i="28"/>
  <c r="E1253" i="28"/>
  <c r="C1253" i="28"/>
  <c r="E1252" i="28"/>
  <c r="C1252" i="28"/>
  <c r="E1251" i="28"/>
  <c r="C1251" i="28"/>
  <c r="E1250" i="28"/>
  <c r="C1250" i="28"/>
  <c r="E1249" i="28"/>
  <c r="C1249" i="28"/>
  <c r="E1248" i="28"/>
  <c r="C1248" i="28"/>
  <c r="F1247" i="28"/>
  <c r="D1247" i="28"/>
  <c r="F1246" i="28"/>
  <c r="D1246" i="28"/>
  <c r="F1245" i="28"/>
  <c r="D1245" i="28"/>
  <c r="F1244" i="28"/>
  <c r="D1244" i="28"/>
  <c r="F1243" i="28"/>
  <c r="D1243" i="28"/>
  <c r="F1242" i="28"/>
  <c r="D1242" i="28"/>
  <c r="F1241" i="28"/>
  <c r="D1241" i="28"/>
  <c r="F1240" i="28"/>
  <c r="D1240" i="28"/>
  <c r="F1239" i="28"/>
  <c r="D1239" i="28"/>
  <c r="F1238" i="28"/>
  <c r="D1238" i="28"/>
  <c r="F1237" i="28"/>
  <c r="D1237" i="28"/>
  <c r="F1236" i="28"/>
  <c r="D1236" i="28"/>
  <c r="F1235" i="28"/>
  <c r="D1235" i="28"/>
  <c r="F1234" i="28"/>
  <c r="D1234" i="28"/>
  <c r="F1233" i="28"/>
  <c r="D1233" i="28"/>
  <c r="F1232" i="28"/>
  <c r="D1232" i="28"/>
  <c r="F1231" i="28"/>
  <c r="D1231" i="28"/>
  <c r="F1230" i="28"/>
  <c r="D1230" i="28"/>
  <c r="F1229" i="28"/>
  <c r="D1229" i="28"/>
  <c r="F1228" i="28"/>
  <c r="D1228" i="28"/>
  <c r="F1227" i="28"/>
  <c r="D1227" i="28"/>
  <c r="F1226" i="28"/>
  <c r="D1226" i="28"/>
  <c r="F1225" i="28"/>
  <c r="D1225" i="28"/>
  <c r="F1224" i="28"/>
  <c r="D1224" i="28"/>
  <c r="F1223" i="28"/>
  <c r="D1223" i="28"/>
  <c r="F1222" i="28"/>
  <c r="D1222" i="28"/>
  <c r="F1221" i="28"/>
  <c r="D1221" i="28"/>
  <c r="F1220" i="28"/>
  <c r="D1220" i="28"/>
  <c r="F1219" i="28"/>
  <c r="D1219" i="28"/>
  <c r="F1218" i="28"/>
  <c r="D1218" i="28"/>
  <c r="F1217" i="28"/>
  <c r="D1217" i="28"/>
  <c r="F1216" i="28"/>
  <c r="D1216" i="28"/>
  <c r="F1215" i="28"/>
  <c r="D1215" i="28"/>
  <c r="F1214" i="28"/>
  <c r="D1214" i="28"/>
  <c r="F1213" i="28"/>
  <c r="D1213" i="28"/>
  <c r="F1212" i="28"/>
  <c r="D1212" i="28"/>
  <c r="F1211" i="28"/>
  <c r="D1211" i="28"/>
  <c r="F1210" i="28"/>
  <c r="D1210" i="28"/>
  <c r="F1209" i="28"/>
  <c r="D1209" i="28"/>
  <c r="F1208" i="28"/>
  <c r="D1208" i="28"/>
  <c r="F1207" i="28"/>
  <c r="D1207" i="28"/>
  <c r="F1206" i="28"/>
  <c r="D1206" i="28"/>
  <c r="F1205" i="28"/>
  <c r="D1205" i="28"/>
  <c r="F1204" i="28"/>
  <c r="D1204" i="28"/>
  <c r="F1203" i="28"/>
  <c r="D1203" i="28"/>
  <c r="F1202" i="28"/>
  <c r="D1202" i="28"/>
  <c r="F1201" i="28"/>
  <c r="D1201" i="28"/>
  <c r="F1200" i="28"/>
  <c r="D1200" i="28"/>
  <c r="F1199" i="28"/>
  <c r="D1199" i="28"/>
  <c r="F1198" i="28"/>
  <c r="D1198" i="28"/>
  <c r="F1197" i="28"/>
  <c r="D1197" i="28"/>
  <c r="F1196" i="28"/>
  <c r="D1196" i="28"/>
  <c r="F1195" i="28"/>
  <c r="D1195" i="28"/>
  <c r="F1194" i="28"/>
  <c r="D1194" i="28"/>
  <c r="F1193" i="28"/>
  <c r="D1193" i="28"/>
  <c r="F1192" i="28"/>
  <c r="D1192" i="28"/>
  <c r="F1191" i="28"/>
  <c r="D1191" i="28"/>
  <c r="F1190" i="28"/>
  <c r="D1190" i="28"/>
  <c r="F1189" i="28"/>
  <c r="D1189" i="28"/>
  <c r="F1188" i="28"/>
  <c r="D1188" i="28"/>
  <c r="F1187" i="28"/>
  <c r="D1187" i="28"/>
  <c r="F1186" i="28"/>
  <c r="D1186" i="28"/>
  <c r="F1185" i="28"/>
  <c r="D1185" i="28"/>
  <c r="F1184" i="28"/>
  <c r="D1184" i="28"/>
  <c r="F1183" i="28"/>
  <c r="D1183" i="28"/>
  <c r="F1182" i="28"/>
  <c r="D1182" i="28"/>
  <c r="F1181" i="28"/>
  <c r="D1181" i="28"/>
  <c r="F1180" i="28"/>
  <c r="D1180" i="28"/>
  <c r="F1179" i="28"/>
  <c r="D1179" i="28"/>
  <c r="F1178" i="28"/>
  <c r="D1178" i="28"/>
  <c r="F1177" i="28"/>
  <c r="D1177" i="28"/>
  <c r="F1176" i="28"/>
  <c r="D1176" i="28"/>
  <c r="F1175" i="28"/>
  <c r="D1175" i="28"/>
  <c r="F1174" i="28"/>
  <c r="D1174" i="28"/>
  <c r="F1173" i="28"/>
  <c r="D1173" i="28"/>
  <c r="F1172" i="28"/>
  <c r="D1172" i="28"/>
  <c r="F1171" i="28"/>
  <c r="D1171" i="28"/>
  <c r="F1170" i="28"/>
  <c r="D1170" i="28"/>
  <c r="F1169" i="28"/>
  <c r="D1169" i="28"/>
  <c r="F1168" i="28"/>
  <c r="D1168" i="28"/>
  <c r="F1167" i="28"/>
  <c r="D1167" i="28"/>
  <c r="F1166" i="28"/>
  <c r="D1166" i="28"/>
  <c r="F1165" i="28"/>
  <c r="D1165" i="28"/>
  <c r="F1164" i="28"/>
  <c r="D1164" i="28"/>
  <c r="F1163" i="28"/>
  <c r="D1163" i="28"/>
  <c r="F1162" i="28"/>
  <c r="D1162" i="28"/>
  <c r="F1161" i="28"/>
  <c r="D1161" i="28"/>
  <c r="F1160" i="28"/>
  <c r="D1160" i="28"/>
  <c r="F1159" i="28"/>
  <c r="D1159" i="28"/>
  <c r="F1158" i="28"/>
  <c r="D1158" i="28"/>
  <c r="F1157" i="28"/>
  <c r="D1157" i="28"/>
  <c r="F1156" i="28"/>
  <c r="D1156" i="28"/>
  <c r="F1155" i="28"/>
  <c r="D1155" i="28"/>
  <c r="F1154" i="28"/>
  <c r="D1154" i="28"/>
  <c r="F1153" i="28"/>
  <c r="D1153" i="28"/>
  <c r="F1152" i="28"/>
  <c r="D1152" i="28"/>
  <c r="F1151" i="28"/>
  <c r="D1151" i="28"/>
  <c r="F1150" i="28"/>
  <c r="D1150" i="28"/>
  <c r="F1149" i="28"/>
  <c r="D1149" i="28"/>
  <c r="F1148" i="28"/>
  <c r="D1148" i="28"/>
  <c r="F1147" i="28"/>
  <c r="D1147" i="28"/>
  <c r="F1146" i="28"/>
  <c r="D1146" i="28"/>
  <c r="F1145" i="28"/>
  <c r="D1145" i="28"/>
  <c r="F1144" i="28"/>
  <c r="D1144" i="28"/>
  <c r="F1143" i="28"/>
  <c r="D1143" i="28"/>
  <c r="F1142" i="28"/>
  <c r="D1142" i="28"/>
  <c r="F1141" i="28"/>
  <c r="D1141" i="28"/>
  <c r="F1140" i="28"/>
  <c r="D1140" i="28"/>
  <c r="F1139" i="28"/>
  <c r="D1139" i="28"/>
  <c r="F1138" i="28"/>
  <c r="D1138" i="28"/>
  <c r="F1137" i="28"/>
  <c r="D1137" i="28"/>
  <c r="F1136" i="28"/>
  <c r="D1136" i="28"/>
  <c r="F1135" i="28"/>
  <c r="D1135" i="28"/>
  <c r="F1134" i="28"/>
  <c r="D1134" i="28"/>
  <c r="F1133" i="28"/>
  <c r="D1133" i="28"/>
  <c r="F1132" i="28"/>
  <c r="D1132" i="28"/>
  <c r="F1131" i="28"/>
  <c r="D1131" i="28"/>
  <c r="F1130" i="28"/>
  <c r="D1130" i="28"/>
  <c r="F1129" i="28"/>
  <c r="D1129" i="28"/>
  <c r="F1128" i="28"/>
  <c r="D1128" i="28"/>
  <c r="F1127" i="28"/>
  <c r="D1127" i="28"/>
  <c r="F1126" i="28"/>
  <c r="D1126" i="28"/>
  <c r="F1125" i="28"/>
  <c r="D1125" i="28"/>
  <c r="F1124" i="28"/>
  <c r="D1124" i="28"/>
  <c r="F1123" i="28"/>
  <c r="D1123" i="28"/>
  <c r="F1122" i="28"/>
  <c r="D1122" i="28"/>
  <c r="F1121" i="28"/>
  <c r="D1121" i="28"/>
  <c r="F1120" i="28"/>
  <c r="D1120" i="28"/>
  <c r="F1119" i="28"/>
  <c r="D1119" i="28"/>
  <c r="F1118" i="28"/>
  <c r="D1118" i="28"/>
  <c r="F1117" i="28"/>
  <c r="D1117" i="28"/>
  <c r="F1116" i="28"/>
  <c r="D1116" i="28"/>
  <c r="F1115" i="28"/>
  <c r="D1115" i="28"/>
  <c r="F1114" i="28"/>
  <c r="D1114" i="28"/>
  <c r="F1113" i="28"/>
  <c r="D1113" i="28"/>
  <c r="F1112" i="28"/>
  <c r="D1112" i="28"/>
  <c r="F1111" i="28"/>
  <c r="D1111" i="28"/>
  <c r="F1110" i="28"/>
  <c r="D1110" i="28"/>
  <c r="F1109" i="28"/>
  <c r="D1109" i="28"/>
  <c r="F1108" i="28"/>
  <c r="D1108" i="28"/>
  <c r="F1107" i="28"/>
  <c r="D1107" i="28"/>
  <c r="F1106" i="28"/>
  <c r="D1106" i="28"/>
  <c r="F1105" i="28"/>
  <c r="D1105" i="28"/>
  <c r="F1104" i="28"/>
  <c r="D1104" i="28"/>
  <c r="F1103" i="28"/>
  <c r="D1103" i="28"/>
  <c r="F1102" i="28"/>
  <c r="D1102" i="28"/>
  <c r="F1101" i="28"/>
  <c r="D1101" i="28"/>
  <c r="F1100" i="28"/>
  <c r="D1100" i="28"/>
  <c r="F1099" i="28"/>
  <c r="D1099" i="28"/>
  <c r="F1098" i="28"/>
  <c r="D1098" i="28"/>
  <c r="F1097" i="28"/>
  <c r="D1097" i="28"/>
  <c r="F1096" i="28"/>
  <c r="D1096" i="28"/>
  <c r="F1095" i="28"/>
  <c r="D1095" i="28"/>
  <c r="F1094" i="28"/>
  <c r="D1094" i="28"/>
  <c r="F1093" i="28"/>
  <c r="D1093" i="28"/>
  <c r="F1092" i="28"/>
  <c r="D1092" i="28"/>
  <c r="F1091" i="28"/>
  <c r="D1091" i="28"/>
  <c r="F1090" i="28"/>
  <c r="D1090" i="28"/>
  <c r="F1089" i="28"/>
  <c r="D1089" i="28"/>
  <c r="F1088" i="28"/>
  <c r="D1088" i="28"/>
  <c r="F1087" i="28"/>
  <c r="D1087" i="28"/>
  <c r="F1086" i="28"/>
  <c r="D1086" i="28"/>
  <c r="F1085" i="28"/>
  <c r="D1085" i="28"/>
  <c r="F1084" i="28"/>
  <c r="D1084" i="28"/>
  <c r="F1083" i="28"/>
  <c r="D1083" i="28"/>
  <c r="F1082" i="28"/>
  <c r="D1082" i="28"/>
  <c r="F1081" i="28"/>
  <c r="D1081" i="28"/>
  <c r="F1080" i="28"/>
  <c r="D1080" i="28"/>
  <c r="F1079" i="28"/>
  <c r="D1079" i="28"/>
  <c r="F1078" i="28"/>
  <c r="D1078" i="28"/>
  <c r="F1077" i="28"/>
  <c r="D1077" i="28"/>
  <c r="F1076" i="28"/>
  <c r="D1076" i="28"/>
  <c r="F1075" i="28"/>
  <c r="D1075" i="28"/>
  <c r="F1074" i="28"/>
  <c r="D1074" i="28"/>
  <c r="F1073" i="28"/>
  <c r="D1073" i="28"/>
  <c r="F1072" i="28"/>
  <c r="D1072" i="28"/>
  <c r="F1071" i="28"/>
  <c r="D1071" i="28"/>
  <c r="F1070" i="28"/>
  <c r="D1070" i="28"/>
  <c r="F1069" i="28"/>
  <c r="D1069" i="28"/>
  <c r="F1068" i="28"/>
  <c r="D1068" i="28"/>
  <c r="F1067" i="28"/>
  <c r="D1067" i="28"/>
  <c r="F1066" i="28"/>
  <c r="D1066" i="28"/>
  <c r="F1065" i="28"/>
  <c r="D1065" i="28"/>
  <c r="F1064" i="28"/>
  <c r="D1064" i="28"/>
  <c r="F1063" i="28"/>
  <c r="D1063" i="28"/>
  <c r="F1062" i="28"/>
  <c r="D1062" i="28"/>
  <c r="F1061" i="28"/>
  <c r="D1061" i="28"/>
  <c r="F1060" i="28"/>
  <c r="D1060" i="28"/>
  <c r="F1059" i="28"/>
  <c r="D1059" i="28"/>
  <c r="F1058" i="28"/>
  <c r="D1058" i="28"/>
  <c r="F1057" i="28"/>
  <c r="D1057" i="28"/>
  <c r="F1056" i="28"/>
  <c r="D1056" i="28"/>
  <c r="F1055" i="28"/>
  <c r="D1055" i="28"/>
  <c r="F1054" i="28"/>
  <c r="D1054" i="28"/>
  <c r="F1053" i="28"/>
  <c r="D1053" i="28"/>
  <c r="F1052" i="28"/>
  <c r="D1052" i="28"/>
  <c r="F1051" i="28"/>
  <c r="D1051" i="28"/>
  <c r="F1050" i="28"/>
  <c r="D1050" i="28"/>
  <c r="F1049" i="28"/>
  <c r="D1049" i="28"/>
  <c r="F1048" i="28"/>
  <c r="D1048" i="28"/>
  <c r="F1047" i="28"/>
  <c r="D1047" i="28"/>
  <c r="F1046" i="28"/>
  <c r="D1046" i="28"/>
  <c r="F1045" i="28"/>
  <c r="D1045" i="28"/>
  <c r="F1044" i="28"/>
  <c r="D1044" i="28"/>
  <c r="F1043" i="28"/>
  <c r="D1043" i="28"/>
  <c r="F1042" i="28"/>
  <c r="D1042" i="28"/>
  <c r="F1041" i="28"/>
  <c r="D1041" i="28"/>
  <c r="F1040" i="28"/>
  <c r="D1040" i="28"/>
  <c r="F1039" i="28"/>
  <c r="D1039" i="28"/>
  <c r="F1038" i="28"/>
  <c r="D1038" i="28"/>
  <c r="F1037" i="28"/>
  <c r="D1037" i="28"/>
  <c r="F1036" i="28"/>
  <c r="D1036" i="28"/>
  <c r="F1035" i="28"/>
  <c r="D1035" i="28"/>
  <c r="F1034" i="28"/>
  <c r="D1034" i="28"/>
  <c r="F1033" i="28"/>
  <c r="D1033" i="28"/>
  <c r="F1032" i="28"/>
  <c r="D1032" i="28"/>
  <c r="F1031" i="28"/>
  <c r="D1031" i="28"/>
  <c r="F1030" i="28"/>
  <c r="D1030" i="28"/>
  <c r="F1029" i="28"/>
  <c r="D1029" i="28"/>
  <c r="F1028" i="28"/>
  <c r="D1028" i="28"/>
  <c r="F1027" i="28"/>
  <c r="D1027" i="28"/>
  <c r="F1026" i="28"/>
  <c r="D1026" i="28"/>
  <c r="F1025" i="28"/>
  <c r="D1025" i="28"/>
  <c r="F1024" i="28"/>
  <c r="D1024" i="28"/>
  <c r="F1023" i="28"/>
  <c r="D1023" i="28"/>
  <c r="F1022" i="28"/>
  <c r="D1022" i="28"/>
  <c r="F1021" i="28"/>
  <c r="D1021" i="28"/>
  <c r="F1020" i="28"/>
  <c r="D1020" i="28"/>
  <c r="F1019" i="28"/>
  <c r="D1019" i="28"/>
  <c r="F1018" i="28"/>
  <c r="D1018" i="28"/>
  <c r="F1017" i="28"/>
  <c r="D1017" i="28"/>
  <c r="F1016" i="28"/>
  <c r="D1016" i="28"/>
  <c r="F1015" i="28"/>
  <c r="D1015" i="28"/>
  <c r="F1014" i="28"/>
  <c r="D1014" i="28"/>
  <c r="F1013" i="28"/>
  <c r="D1013" i="28"/>
  <c r="F1012" i="28"/>
  <c r="D1012" i="28"/>
  <c r="F1011" i="28"/>
  <c r="D1011" i="28"/>
  <c r="F1010" i="28"/>
  <c r="D1010" i="28"/>
  <c r="F1009" i="28"/>
  <c r="D1009" i="28"/>
  <c r="F1008" i="28"/>
  <c r="D1008" i="28"/>
  <c r="F1007" i="28"/>
  <c r="D1007" i="28"/>
  <c r="F1006" i="28"/>
  <c r="D1006" i="28"/>
  <c r="F1005" i="28"/>
  <c r="D1005" i="28"/>
  <c r="F1004" i="28"/>
  <c r="D1004" i="28"/>
  <c r="F1003" i="28"/>
  <c r="D1003" i="28"/>
  <c r="F1002" i="28"/>
  <c r="D1002" i="28"/>
  <c r="F1001" i="28"/>
  <c r="D1001" i="28"/>
  <c r="F1000" i="28"/>
  <c r="D1000" i="28"/>
  <c r="F999" i="28"/>
  <c r="D999" i="28"/>
  <c r="F998" i="28"/>
  <c r="D998" i="28"/>
  <c r="F997" i="28"/>
  <c r="D997" i="28"/>
  <c r="F996" i="28"/>
  <c r="D996" i="28"/>
  <c r="F995" i="28"/>
  <c r="D995" i="28"/>
  <c r="F994" i="28"/>
  <c r="D994" i="28"/>
  <c r="F993" i="28"/>
  <c r="D993" i="28"/>
  <c r="F992" i="28"/>
  <c r="D992" i="28"/>
  <c r="F991" i="28"/>
  <c r="D991" i="28"/>
  <c r="F990" i="28"/>
  <c r="D990" i="28"/>
  <c r="F989" i="28"/>
  <c r="D989" i="28"/>
  <c r="F988" i="28"/>
  <c r="D988" i="28"/>
  <c r="F987" i="28"/>
  <c r="D987" i="28"/>
  <c r="F986" i="28"/>
  <c r="D986" i="28"/>
  <c r="F985" i="28"/>
  <c r="D985" i="28"/>
  <c r="F984" i="28"/>
  <c r="D984" i="28"/>
  <c r="F983" i="28"/>
  <c r="D983" i="28"/>
  <c r="F982" i="28"/>
  <c r="D982" i="28"/>
  <c r="F981" i="28"/>
  <c r="D981" i="28"/>
  <c r="F980" i="28"/>
  <c r="D980" i="28"/>
  <c r="F979" i="28"/>
  <c r="D979" i="28"/>
  <c r="F978" i="28"/>
  <c r="D978" i="28"/>
  <c r="F977" i="28"/>
  <c r="D977" i="28"/>
  <c r="F976" i="28"/>
  <c r="D976" i="28"/>
  <c r="F975" i="28"/>
  <c r="D975" i="28"/>
  <c r="F974" i="28"/>
  <c r="D974" i="28"/>
  <c r="F973" i="28"/>
  <c r="D973" i="28"/>
  <c r="F972" i="28"/>
  <c r="D972" i="28"/>
  <c r="F971" i="28"/>
  <c r="D971" i="28"/>
  <c r="F970" i="28"/>
  <c r="D970" i="28"/>
  <c r="F969" i="28"/>
  <c r="D969" i="28"/>
  <c r="F968" i="28"/>
  <c r="D968" i="28"/>
  <c r="F967" i="28"/>
  <c r="D967" i="28"/>
  <c r="F966" i="28"/>
  <c r="D966" i="28"/>
  <c r="F965" i="28"/>
  <c r="D965" i="28"/>
  <c r="F964" i="28"/>
  <c r="D964" i="28"/>
  <c r="F963" i="28"/>
  <c r="D963" i="28"/>
  <c r="F962" i="28"/>
  <c r="D962" i="28"/>
  <c r="F961" i="28"/>
  <c r="D961" i="28"/>
  <c r="F960" i="28"/>
  <c r="D960" i="28"/>
  <c r="F959" i="28"/>
  <c r="D959" i="28"/>
  <c r="F958" i="28"/>
  <c r="D958" i="28"/>
  <c r="F957" i="28"/>
  <c r="D957" i="28"/>
  <c r="F956" i="28"/>
  <c r="D956" i="28"/>
  <c r="F955" i="28"/>
  <c r="D955" i="28"/>
  <c r="F954" i="28"/>
  <c r="D954" i="28"/>
  <c r="F953" i="28"/>
  <c r="D953" i="28"/>
  <c r="F952" i="28"/>
  <c r="D952" i="28"/>
  <c r="F951" i="28"/>
  <c r="D951" i="28"/>
  <c r="F950" i="28"/>
  <c r="D950" i="28"/>
  <c r="F949" i="28"/>
  <c r="D949" i="28"/>
  <c r="F948" i="28"/>
  <c r="D948" i="28"/>
  <c r="F947" i="28"/>
  <c r="D947" i="28"/>
  <c r="F946" i="28"/>
  <c r="D946" i="28"/>
  <c r="F945" i="28"/>
  <c r="D945" i="28"/>
  <c r="F944" i="28"/>
  <c r="D944" i="28"/>
  <c r="F943" i="28"/>
  <c r="D943" i="28"/>
  <c r="F942" i="28"/>
  <c r="D942" i="28"/>
  <c r="F941" i="28"/>
  <c r="D941" i="28"/>
  <c r="F940" i="28"/>
  <c r="D940" i="28"/>
  <c r="F939" i="28"/>
  <c r="D939" i="28"/>
  <c r="F938" i="28"/>
  <c r="D938" i="28"/>
  <c r="F937" i="28"/>
  <c r="D937" i="28"/>
  <c r="F936" i="28"/>
  <c r="D936" i="28"/>
  <c r="F935" i="28"/>
  <c r="D935" i="28"/>
  <c r="F934" i="28"/>
  <c r="D934" i="28"/>
  <c r="F933" i="28"/>
  <c r="D933" i="28"/>
  <c r="F932" i="28"/>
  <c r="D932" i="28"/>
  <c r="F931" i="28"/>
  <c r="D931" i="28"/>
  <c r="F930" i="28"/>
  <c r="D930" i="28"/>
  <c r="F929" i="28"/>
  <c r="D929" i="28"/>
  <c r="F928" i="28"/>
  <c r="D928" i="28"/>
  <c r="F927" i="28"/>
  <c r="D927" i="28"/>
  <c r="F926" i="28"/>
  <c r="D926" i="28"/>
  <c r="F925" i="28"/>
  <c r="D925" i="28"/>
  <c r="F924" i="28"/>
  <c r="D924" i="28"/>
  <c r="F923" i="28"/>
  <c r="D923" i="28"/>
  <c r="F922" i="28"/>
  <c r="D922" i="28"/>
  <c r="F921" i="28"/>
  <c r="D921" i="28"/>
  <c r="F920" i="28"/>
  <c r="D920" i="28"/>
  <c r="F919" i="28"/>
  <c r="D919" i="28"/>
  <c r="F918" i="28"/>
  <c r="D918" i="28"/>
  <c r="F917" i="28"/>
  <c r="D917" i="28"/>
  <c r="F916" i="28"/>
  <c r="D916" i="28"/>
  <c r="F915" i="28"/>
  <c r="D915" i="28"/>
  <c r="F914" i="28"/>
  <c r="D914" i="28"/>
  <c r="F913" i="28"/>
  <c r="D913" i="28"/>
  <c r="F912" i="28"/>
  <c r="D912" i="28"/>
  <c r="F911" i="28"/>
  <c r="D911" i="28"/>
  <c r="F910" i="28"/>
  <c r="D910" i="28"/>
  <c r="F909" i="28"/>
  <c r="D909" i="28"/>
  <c r="F908" i="28"/>
  <c r="D908" i="28"/>
  <c r="F907" i="28"/>
  <c r="D907" i="28"/>
  <c r="F906" i="28"/>
  <c r="D906" i="28"/>
  <c r="F905" i="28"/>
  <c r="D905" i="28"/>
  <c r="F904" i="28"/>
  <c r="D904" i="28"/>
  <c r="F903" i="28"/>
  <c r="D903" i="28"/>
  <c r="F902" i="28"/>
  <c r="D902" i="28"/>
  <c r="F901" i="28"/>
  <c r="D901" i="28"/>
  <c r="F900" i="28"/>
  <c r="D900" i="28"/>
  <c r="F899" i="28"/>
  <c r="D899" i="28"/>
  <c r="F898" i="28"/>
  <c r="D898" i="28"/>
  <c r="F897" i="28"/>
  <c r="D897" i="28"/>
  <c r="F896" i="28"/>
  <c r="D896" i="28"/>
  <c r="F895" i="28"/>
  <c r="D895" i="28"/>
  <c r="F894" i="28"/>
  <c r="D894" i="28"/>
  <c r="F893" i="28"/>
  <c r="D893" i="28"/>
  <c r="F892" i="28"/>
  <c r="D892" i="28"/>
  <c r="F891" i="28"/>
  <c r="D891" i="28"/>
  <c r="F890" i="28"/>
  <c r="D890" i="28"/>
  <c r="F889" i="28"/>
  <c r="D889" i="28"/>
  <c r="F888" i="28"/>
  <c r="D888" i="28"/>
  <c r="F887" i="28"/>
  <c r="D887" i="28"/>
  <c r="F886" i="28"/>
  <c r="D886" i="28"/>
  <c r="F885" i="28"/>
  <c r="D885" i="28"/>
  <c r="F884" i="28"/>
  <c r="D884" i="28"/>
  <c r="F883" i="28"/>
  <c r="D883" i="28"/>
  <c r="F882" i="28"/>
  <c r="D882" i="28"/>
  <c r="F881" i="28"/>
  <c r="D881" i="28"/>
  <c r="F880" i="28"/>
  <c r="D880" i="28"/>
  <c r="F879" i="28"/>
  <c r="D879" i="28"/>
  <c r="F878" i="28"/>
  <c r="D878" i="28"/>
  <c r="F877" i="28"/>
  <c r="D877" i="28"/>
  <c r="F876" i="28"/>
  <c r="D876" i="28"/>
  <c r="F875" i="28"/>
  <c r="D875" i="28"/>
  <c r="F874" i="28"/>
  <c r="D874" i="28"/>
  <c r="F873" i="28"/>
  <c r="D873" i="28"/>
  <c r="F872" i="28"/>
  <c r="D872" i="28"/>
  <c r="F871" i="28"/>
  <c r="D871" i="28"/>
  <c r="F870" i="28"/>
  <c r="D870" i="28"/>
  <c r="F869" i="28"/>
  <c r="D869" i="28"/>
  <c r="F868" i="28"/>
  <c r="D868" i="28"/>
  <c r="F867" i="28"/>
  <c r="D867" i="28"/>
  <c r="F866" i="28"/>
  <c r="D866" i="28"/>
  <c r="F865" i="28"/>
  <c r="D865" i="28"/>
  <c r="F864" i="28"/>
  <c r="D864" i="28"/>
  <c r="F863" i="28"/>
  <c r="D863" i="28"/>
  <c r="F862" i="28"/>
  <c r="D862" i="28"/>
  <c r="F861" i="28"/>
  <c r="D861" i="28"/>
  <c r="F860" i="28"/>
  <c r="D860" i="28"/>
  <c r="F859" i="28"/>
  <c r="D859" i="28"/>
  <c r="F858" i="28"/>
  <c r="D858" i="28"/>
  <c r="F857" i="28"/>
  <c r="D857" i="28"/>
  <c r="F856" i="28"/>
  <c r="D856" i="28"/>
  <c r="F855" i="28"/>
  <c r="D855" i="28"/>
  <c r="F854" i="28"/>
  <c r="D854" i="28"/>
  <c r="F853" i="28"/>
  <c r="D853" i="28"/>
  <c r="F852" i="28"/>
  <c r="D852" i="28"/>
  <c r="F851" i="28"/>
  <c r="D851" i="28"/>
  <c r="F850" i="28"/>
  <c r="D850" i="28"/>
  <c r="F849" i="28"/>
  <c r="D849" i="28"/>
  <c r="F848" i="28"/>
  <c r="D848" i="28"/>
  <c r="F847" i="28"/>
  <c r="D847" i="28"/>
  <c r="F846" i="28"/>
  <c r="D846" i="28"/>
  <c r="F845" i="28"/>
  <c r="D845" i="28"/>
  <c r="F844" i="28"/>
  <c r="D844" i="28"/>
  <c r="F843" i="28"/>
  <c r="D843" i="28"/>
  <c r="F842" i="28"/>
  <c r="D842" i="28"/>
  <c r="F841" i="28"/>
  <c r="D841" i="28"/>
  <c r="F840" i="28"/>
  <c r="D840" i="28"/>
  <c r="F839" i="28"/>
  <c r="D839" i="28"/>
  <c r="F838" i="28"/>
  <c r="D838" i="28"/>
  <c r="F837" i="28"/>
  <c r="D837" i="28"/>
  <c r="F836" i="28"/>
  <c r="D836" i="28"/>
  <c r="F835" i="28"/>
  <c r="D835" i="28"/>
  <c r="F834" i="28"/>
  <c r="D834" i="28"/>
  <c r="F833" i="28"/>
  <c r="D833" i="28"/>
  <c r="F832" i="28"/>
  <c r="D832" i="28"/>
  <c r="F831" i="28"/>
  <c r="D831" i="28"/>
  <c r="F830" i="28"/>
  <c r="D830" i="28"/>
  <c r="F829" i="28"/>
  <c r="D829" i="28"/>
  <c r="F828" i="28"/>
  <c r="D828" i="28"/>
  <c r="F827" i="28"/>
  <c r="D827" i="28"/>
  <c r="F826" i="28"/>
  <c r="D826" i="28"/>
  <c r="F825" i="28"/>
  <c r="D825" i="28"/>
  <c r="F824" i="28"/>
  <c r="D824" i="28"/>
  <c r="F823" i="28"/>
  <c r="D823" i="28"/>
  <c r="F822" i="28"/>
  <c r="D822" i="28"/>
  <c r="F821" i="28"/>
  <c r="D821" i="28"/>
  <c r="F820" i="28"/>
  <c r="D820" i="28"/>
  <c r="F819" i="28"/>
  <c r="D819" i="28"/>
  <c r="F818" i="28"/>
  <c r="D818" i="28"/>
  <c r="F817" i="28"/>
  <c r="D817" i="28"/>
  <c r="F816" i="28"/>
  <c r="D816" i="28"/>
  <c r="F815" i="28"/>
  <c r="D815" i="28"/>
  <c r="F814" i="28"/>
  <c r="D814" i="28"/>
  <c r="F813" i="28"/>
  <c r="D813" i="28"/>
  <c r="F812" i="28"/>
  <c r="D812" i="28"/>
  <c r="F811" i="28"/>
  <c r="D811" i="28"/>
  <c r="F810" i="28"/>
  <c r="D810" i="28"/>
  <c r="F809" i="28"/>
  <c r="D809" i="28"/>
  <c r="F808" i="28"/>
  <c r="D808" i="28"/>
  <c r="F807" i="28"/>
  <c r="D807" i="28"/>
  <c r="F806" i="28"/>
  <c r="D806" i="28"/>
  <c r="F805" i="28"/>
  <c r="D805" i="28"/>
  <c r="F804" i="28"/>
  <c r="D804" i="28"/>
  <c r="F803" i="28"/>
  <c r="D803" i="28"/>
  <c r="F802" i="28"/>
  <c r="D802" i="28"/>
  <c r="F801" i="28"/>
  <c r="D801" i="28"/>
  <c r="F800" i="28"/>
  <c r="D800" i="28"/>
  <c r="F799" i="28"/>
  <c r="D799" i="28"/>
  <c r="F798" i="28"/>
  <c r="D798" i="28"/>
  <c r="F797" i="28"/>
  <c r="D797" i="28"/>
  <c r="F796" i="28"/>
  <c r="D796" i="28"/>
  <c r="F795" i="28"/>
  <c r="D795" i="28"/>
  <c r="F794" i="28"/>
  <c r="D794" i="28"/>
  <c r="F793" i="28"/>
  <c r="D793" i="28"/>
  <c r="F792" i="28"/>
  <c r="D792" i="28"/>
  <c r="F791" i="28"/>
  <c r="D791" i="28"/>
  <c r="F790" i="28"/>
  <c r="D790" i="28"/>
  <c r="F789" i="28"/>
  <c r="D789" i="28"/>
  <c r="F788" i="28"/>
  <c r="D788" i="28"/>
  <c r="F787" i="28"/>
  <c r="D787" i="28"/>
  <c r="F786" i="28"/>
  <c r="D786" i="28"/>
  <c r="F785" i="28"/>
  <c r="D785" i="28"/>
  <c r="F784" i="28"/>
  <c r="D784" i="28"/>
  <c r="F783" i="28"/>
  <c r="D783" i="28"/>
  <c r="F782" i="28"/>
  <c r="D782" i="28"/>
  <c r="F781" i="28"/>
  <c r="D781" i="28"/>
  <c r="F780" i="28"/>
  <c r="D780" i="28"/>
  <c r="F779" i="28"/>
  <c r="D779" i="28"/>
  <c r="F778" i="28"/>
  <c r="D778" i="28"/>
  <c r="F777" i="28"/>
  <c r="D777" i="28"/>
  <c r="F776" i="28"/>
  <c r="D776" i="28"/>
  <c r="F775" i="28"/>
  <c r="D775" i="28"/>
  <c r="F774" i="28"/>
  <c r="D774" i="28"/>
  <c r="F773" i="28"/>
  <c r="D773" i="28"/>
  <c r="F772" i="28"/>
  <c r="D772" i="28"/>
  <c r="F771" i="28"/>
  <c r="D771" i="28"/>
  <c r="F770" i="28"/>
  <c r="D770" i="28"/>
  <c r="F769" i="28"/>
  <c r="D769" i="28"/>
  <c r="F768" i="28"/>
  <c r="D768" i="28"/>
  <c r="F767" i="28"/>
  <c r="D767" i="28"/>
  <c r="F766" i="28"/>
  <c r="D766" i="28"/>
  <c r="F765" i="28"/>
  <c r="D765" i="28"/>
  <c r="F764" i="28"/>
  <c r="D764" i="28"/>
  <c r="F763" i="28"/>
  <c r="D763" i="28"/>
  <c r="F762" i="28"/>
  <c r="D762" i="28"/>
  <c r="F761" i="28"/>
  <c r="D761" i="28"/>
  <c r="F760" i="28"/>
  <c r="D760" i="28"/>
  <c r="F759" i="28"/>
  <c r="D759" i="28"/>
  <c r="F758" i="28"/>
  <c r="D758" i="28"/>
  <c r="F757" i="28"/>
  <c r="D757" i="28"/>
  <c r="F756" i="28"/>
  <c r="D756" i="28"/>
  <c r="F755" i="28"/>
  <c r="D755" i="28"/>
  <c r="F754" i="28"/>
  <c r="D754" i="28"/>
  <c r="F753" i="28"/>
  <c r="D753" i="28"/>
  <c r="F752" i="28"/>
  <c r="D752" i="28"/>
  <c r="F751" i="28"/>
  <c r="D751" i="28"/>
  <c r="F750" i="28"/>
  <c r="D750" i="28"/>
  <c r="F749" i="28"/>
  <c r="D749" i="28"/>
  <c r="F748" i="28"/>
  <c r="D748" i="28"/>
  <c r="F747" i="28"/>
  <c r="D747" i="28"/>
  <c r="F746" i="28"/>
  <c r="D746" i="28"/>
  <c r="F745" i="28"/>
  <c r="D745" i="28"/>
  <c r="F744" i="28"/>
  <c r="D744" i="28"/>
  <c r="F743" i="28"/>
  <c r="D743" i="28"/>
  <c r="F742" i="28"/>
  <c r="D742" i="28"/>
  <c r="F741" i="28"/>
  <c r="D741" i="28"/>
  <c r="F740" i="28"/>
  <c r="D740" i="28"/>
  <c r="F739" i="28"/>
  <c r="D739" i="28"/>
  <c r="F738" i="28"/>
  <c r="D738" i="28"/>
  <c r="F737" i="28"/>
  <c r="D737" i="28"/>
  <c r="F736" i="28"/>
  <c r="D736" i="28"/>
  <c r="F735" i="28"/>
  <c r="D735" i="28"/>
  <c r="F734" i="28"/>
  <c r="D734" i="28"/>
  <c r="F733" i="28"/>
  <c r="D733" i="28"/>
  <c r="F732" i="28"/>
  <c r="D732" i="28"/>
  <c r="F731" i="28"/>
  <c r="D731" i="28"/>
  <c r="F730" i="28"/>
  <c r="D730" i="28"/>
  <c r="F729" i="28"/>
  <c r="D729" i="28"/>
  <c r="F728" i="28"/>
  <c r="D728" i="28"/>
  <c r="F727" i="28"/>
  <c r="D727" i="28"/>
  <c r="F726" i="28"/>
  <c r="D726" i="28"/>
  <c r="F725" i="28"/>
  <c r="D725" i="28"/>
  <c r="F724" i="28"/>
  <c r="D724" i="28"/>
  <c r="F723" i="28"/>
  <c r="D723" i="28"/>
  <c r="F722" i="28"/>
  <c r="D722" i="28"/>
  <c r="F721" i="28"/>
  <c r="D721" i="28"/>
  <c r="F720" i="28"/>
  <c r="D720" i="28"/>
  <c r="F719" i="28"/>
  <c r="D719" i="28"/>
  <c r="F718" i="28"/>
  <c r="D718" i="28"/>
  <c r="F717" i="28"/>
  <c r="D717" i="28"/>
  <c r="F716" i="28"/>
  <c r="D716" i="28"/>
  <c r="F715" i="28"/>
  <c r="D715" i="28"/>
  <c r="F714" i="28"/>
  <c r="D714" i="28"/>
  <c r="F713" i="28"/>
  <c r="D713" i="28"/>
  <c r="F712" i="28"/>
  <c r="D712" i="28"/>
  <c r="F711" i="28"/>
  <c r="D711" i="28"/>
  <c r="F710" i="28"/>
  <c r="D710" i="28"/>
  <c r="F709" i="28"/>
  <c r="D709" i="28"/>
  <c r="F708" i="28"/>
  <c r="D708" i="28"/>
  <c r="F707" i="28"/>
  <c r="D707" i="28"/>
  <c r="F706" i="28"/>
  <c r="D706" i="28"/>
  <c r="F705" i="28"/>
  <c r="D705" i="28"/>
  <c r="F704" i="28"/>
  <c r="D704" i="28"/>
  <c r="F703" i="28"/>
  <c r="D703" i="28"/>
  <c r="F702" i="28"/>
  <c r="D702" i="28"/>
  <c r="F701" i="28"/>
  <c r="D701" i="28"/>
  <c r="F700" i="28"/>
  <c r="D700" i="28"/>
  <c r="F699" i="28"/>
  <c r="D699" i="28"/>
  <c r="F698" i="28"/>
  <c r="D698" i="28"/>
  <c r="F697" i="28"/>
  <c r="D697" i="28"/>
  <c r="F696" i="28"/>
  <c r="D696" i="28"/>
  <c r="F695" i="28"/>
  <c r="D695" i="28"/>
  <c r="F694" i="28"/>
  <c r="D694" i="28"/>
  <c r="F693" i="28"/>
  <c r="D693" i="28"/>
  <c r="F692" i="28"/>
  <c r="D692" i="28"/>
  <c r="F691" i="28"/>
  <c r="D691" i="28"/>
  <c r="F690" i="28"/>
  <c r="D690" i="28"/>
  <c r="F689" i="28"/>
  <c r="D689" i="28"/>
  <c r="F688" i="28"/>
  <c r="D688" i="28"/>
  <c r="F687" i="28"/>
  <c r="D687" i="28"/>
  <c r="F686" i="28"/>
  <c r="D686" i="28"/>
  <c r="F685" i="28"/>
  <c r="D685" i="28"/>
  <c r="F684" i="28"/>
  <c r="D684" i="28"/>
  <c r="F683" i="28"/>
  <c r="D683" i="28"/>
  <c r="F682" i="28"/>
  <c r="D682" i="28"/>
  <c r="F681" i="28"/>
  <c r="D681" i="28"/>
  <c r="F680" i="28"/>
  <c r="D680" i="28"/>
  <c r="F679" i="28"/>
  <c r="D679" i="28"/>
  <c r="F678" i="28"/>
  <c r="D678" i="28"/>
  <c r="F677" i="28"/>
  <c r="D677" i="28"/>
  <c r="F676" i="28"/>
  <c r="D676" i="28"/>
  <c r="F675" i="28"/>
  <c r="D675" i="28"/>
  <c r="F674" i="28"/>
  <c r="D674" i="28"/>
  <c r="F673" i="28"/>
  <c r="D673" i="28"/>
  <c r="F672" i="28"/>
  <c r="D672" i="28"/>
  <c r="F671" i="28"/>
  <c r="D671" i="28"/>
  <c r="F670" i="28"/>
  <c r="D670" i="28"/>
  <c r="F669" i="28"/>
  <c r="D669" i="28"/>
  <c r="F668" i="28"/>
  <c r="D668" i="28"/>
  <c r="F667" i="28"/>
  <c r="D667" i="28"/>
  <c r="F666" i="28"/>
  <c r="D666" i="28"/>
  <c r="F665" i="28"/>
  <c r="D665" i="28"/>
  <c r="F664" i="28"/>
  <c r="D664" i="28"/>
  <c r="F663" i="28"/>
  <c r="D663" i="28"/>
  <c r="F662" i="28"/>
  <c r="D662" i="28"/>
  <c r="F661" i="28"/>
  <c r="D661" i="28"/>
  <c r="F660" i="28"/>
  <c r="D660" i="28"/>
  <c r="F659" i="28"/>
  <c r="D659" i="28"/>
  <c r="F658" i="28"/>
  <c r="D658" i="28"/>
  <c r="F657" i="28"/>
  <c r="D657" i="28"/>
  <c r="F656" i="28"/>
  <c r="D656" i="28"/>
  <c r="F655" i="28"/>
  <c r="D655" i="28"/>
  <c r="F654" i="28"/>
  <c r="D654" i="28"/>
  <c r="F653" i="28"/>
  <c r="D653" i="28"/>
  <c r="F652" i="28"/>
  <c r="D652" i="28"/>
  <c r="F651" i="28"/>
  <c r="D651" i="28"/>
  <c r="F650" i="28"/>
  <c r="D650" i="28"/>
  <c r="F649" i="28"/>
  <c r="D649" i="28"/>
  <c r="F648" i="28"/>
  <c r="D648" i="28"/>
  <c r="F647" i="28"/>
  <c r="D647" i="28"/>
  <c r="F646" i="28"/>
  <c r="D646" i="28"/>
  <c r="F645" i="28"/>
  <c r="D645" i="28"/>
  <c r="F644" i="28"/>
  <c r="D644" i="28"/>
  <c r="F643" i="28"/>
  <c r="D643" i="28"/>
  <c r="F642" i="28"/>
  <c r="D642" i="28"/>
  <c r="F641" i="28"/>
  <c r="D641" i="28"/>
  <c r="F640" i="28"/>
  <c r="D640" i="28"/>
  <c r="F639" i="28"/>
  <c r="D639" i="28"/>
  <c r="F638" i="28"/>
  <c r="D638" i="28"/>
  <c r="F637" i="28"/>
  <c r="D637" i="28"/>
  <c r="F636" i="28"/>
  <c r="D636" i="28"/>
  <c r="F635" i="28"/>
  <c r="D635" i="28"/>
  <c r="F634" i="28"/>
  <c r="D634" i="28"/>
  <c r="F633" i="28"/>
  <c r="D633" i="28"/>
  <c r="F632" i="28"/>
  <c r="D632" i="28"/>
  <c r="F631" i="28"/>
  <c r="D631" i="28"/>
  <c r="F630" i="28"/>
  <c r="D630" i="28"/>
  <c r="F629" i="28"/>
  <c r="D629" i="28"/>
  <c r="F628" i="28"/>
  <c r="D628" i="28"/>
  <c r="F627" i="28"/>
  <c r="D627" i="28"/>
  <c r="F626" i="28"/>
  <c r="D626" i="28"/>
  <c r="F625" i="28"/>
  <c r="D625" i="28"/>
  <c r="F624" i="28"/>
  <c r="D624" i="28"/>
  <c r="F623" i="28"/>
  <c r="D623" i="28"/>
  <c r="F622" i="28"/>
  <c r="D622" i="28"/>
  <c r="F621" i="28"/>
  <c r="D621" i="28"/>
  <c r="F620" i="28"/>
  <c r="D620" i="28"/>
  <c r="F619" i="28"/>
  <c r="D619" i="28"/>
  <c r="F618" i="28"/>
  <c r="D618" i="28"/>
  <c r="F617" i="28"/>
  <c r="D617" i="28"/>
  <c r="F616" i="28"/>
  <c r="D616" i="28"/>
  <c r="F615" i="28"/>
  <c r="D615" i="28"/>
  <c r="F614" i="28"/>
  <c r="D614" i="28"/>
  <c r="F613" i="28"/>
  <c r="D613" i="28"/>
  <c r="F612" i="28"/>
  <c r="D612" i="28"/>
  <c r="F611" i="28"/>
  <c r="D611" i="28"/>
  <c r="F610" i="28"/>
  <c r="D610" i="28"/>
  <c r="F609" i="28"/>
  <c r="D609" i="28"/>
  <c r="F608" i="28"/>
  <c r="D608" i="28"/>
  <c r="F607" i="28"/>
  <c r="D607" i="28"/>
  <c r="F606" i="28"/>
  <c r="D606" i="28"/>
  <c r="F605" i="28"/>
  <c r="D605" i="28"/>
  <c r="F604" i="28"/>
  <c r="D604" i="28"/>
  <c r="F603" i="28"/>
  <c r="D603" i="28"/>
  <c r="F602" i="28"/>
  <c r="D602" i="28"/>
  <c r="F601" i="28"/>
  <c r="D601" i="28"/>
  <c r="F600" i="28"/>
  <c r="D600" i="28"/>
  <c r="F599" i="28"/>
  <c r="D599" i="28"/>
  <c r="F598" i="28"/>
  <c r="D598" i="28"/>
  <c r="F597" i="28"/>
  <c r="D597" i="28"/>
  <c r="F596" i="28"/>
  <c r="D596" i="28"/>
  <c r="F595" i="28"/>
  <c r="D595" i="28"/>
  <c r="F594" i="28"/>
  <c r="D594" i="28"/>
  <c r="F593" i="28"/>
  <c r="D593" i="28"/>
  <c r="F592" i="28"/>
  <c r="D592" i="28"/>
  <c r="F591" i="28"/>
  <c r="D591" i="28"/>
  <c r="F590" i="28"/>
  <c r="D590" i="28"/>
  <c r="F589" i="28"/>
  <c r="D589" i="28"/>
  <c r="F588" i="28"/>
  <c r="D588" i="28"/>
  <c r="F587" i="28"/>
  <c r="D587" i="28"/>
  <c r="F586" i="28"/>
  <c r="D586" i="28"/>
  <c r="F585" i="28"/>
  <c r="D585" i="28"/>
  <c r="F584" i="28"/>
  <c r="D584" i="28"/>
  <c r="F583" i="28"/>
  <c r="D583" i="28"/>
  <c r="F582" i="28"/>
  <c r="D582" i="28"/>
  <c r="F581" i="28"/>
  <c r="D581" i="28"/>
  <c r="F580" i="28"/>
  <c r="D580" i="28"/>
  <c r="F579" i="28"/>
  <c r="D579" i="28"/>
  <c r="F578" i="28"/>
  <c r="D578" i="28"/>
  <c r="F577" i="28"/>
  <c r="D577" i="28"/>
  <c r="F576" i="28"/>
  <c r="D576" i="28"/>
  <c r="F575" i="28"/>
  <c r="D575" i="28"/>
  <c r="F574" i="28"/>
  <c r="D574" i="28"/>
  <c r="F573" i="28"/>
  <c r="D573" i="28"/>
  <c r="F572" i="28"/>
  <c r="D572" i="28"/>
  <c r="F571" i="28"/>
  <c r="D571" i="28"/>
  <c r="F570" i="28"/>
  <c r="D570" i="28"/>
  <c r="F569" i="28"/>
  <c r="D569" i="28"/>
  <c r="F568" i="28"/>
  <c r="D568" i="28"/>
  <c r="F567" i="28"/>
  <c r="D567" i="28"/>
  <c r="F566" i="28"/>
  <c r="D566" i="28"/>
  <c r="F565" i="28"/>
  <c r="D565" i="28"/>
  <c r="F564" i="28"/>
  <c r="D564" i="28"/>
  <c r="F563" i="28"/>
  <c r="D563" i="28"/>
  <c r="F562" i="28"/>
  <c r="D562" i="28"/>
  <c r="F561" i="28"/>
  <c r="D561" i="28"/>
  <c r="F560" i="28"/>
  <c r="D560" i="28"/>
  <c r="F559" i="28"/>
  <c r="D559" i="28"/>
  <c r="F558" i="28"/>
  <c r="D558" i="28"/>
  <c r="F557" i="28"/>
  <c r="D557" i="28"/>
  <c r="F556" i="28"/>
  <c r="D556" i="28"/>
  <c r="F555" i="28"/>
  <c r="D555" i="28"/>
  <c r="F554" i="28"/>
  <c r="D554" i="28"/>
  <c r="F553" i="28"/>
  <c r="D553" i="28"/>
  <c r="F552" i="28"/>
  <c r="D552" i="28"/>
  <c r="F551" i="28"/>
  <c r="D551" i="28"/>
  <c r="F550" i="28"/>
  <c r="D550" i="28"/>
  <c r="F549" i="28"/>
  <c r="D549" i="28"/>
  <c r="F548" i="28"/>
  <c r="D548" i="28"/>
  <c r="F547" i="28"/>
  <c r="D547" i="28"/>
  <c r="F546" i="28"/>
  <c r="D546" i="28"/>
  <c r="F545" i="28"/>
  <c r="D545" i="28"/>
  <c r="F544" i="28"/>
  <c r="D544" i="28"/>
  <c r="F543" i="28"/>
  <c r="D543" i="28"/>
  <c r="F542" i="28"/>
  <c r="D542" i="28"/>
  <c r="F541" i="28"/>
  <c r="D541" i="28"/>
  <c r="F540" i="28"/>
  <c r="D540" i="28"/>
  <c r="F539" i="28"/>
  <c r="D539" i="28"/>
  <c r="F538" i="28"/>
  <c r="D538" i="28"/>
  <c r="F537" i="28"/>
  <c r="D537" i="28"/>
  <c r="F536" i="28"/>
  <c r="D536" i="28"/>
  <c r="F535" i="28"/>
  <c r="D535" i="28"/>
  <c r="F534" i="28"/>
  <c r="D534" i="28"/>
  <c r="F533" i="28"/>
  <c r="D533" i="28"/>
  <c r="F532" i="28"/>
  <c r="D532" i="28"/>
  <c r="F531" i="28"/>
  <c r="D531" i="28"/>
  <c r="F530" i="28"/>
  <c r="D530" i="28"/>
  <c r="F529" i="28"/>
  <c r="D529" i="28"/>
  <c r="F528" i="28"/>
  <c r="D528" i="28"/>
  <c r="F527" i="28"/>
  <c r="D527" i="28"/>
  <c r="F526" i="28"/>
  <c r="D526" i="28"/>
  <c r="F525" i="28"/>
  <c r="D525" i="28"/>
  <c r="F524" i="28"/>
  <c r="D524" i="28"/>
  <c r="F523" i="28"/>
  <c r="D523" i="28"/>
  <c r="F522" i="28"/>
  <c r="D522" i="28"/>
  <c r="F521" i="28"/>
  <c r="D521" i="28"/>
  <c r="F520" i="28"/>
  <c r="D520" i="28"/>
  <c r="F519" i="28"/>
  <c r="D519" i="28"/>
  <c r="F518" i="28"/>
  <c r="D518" i="28"/>
  <c r="F517" i="28"/>
  <c r="D517" i="28"/>
  <c r="F516" i="28"/>
  <c r="D516" i="28"/>
  <c r="F515" i="28"/>
  <c r="D515" i="28"/>
  <c r="F514" i="28"/>
  <c r="D514" i="28"/>
  <c r="F513" i="28"/>
  <c r="D513" i="28"/>
  <c r="F512" i="28"/>
  <c r="D512" i="28"/>
  <c r="F511" i="28"/>
  <c r="D511" i="28"/>
  <c r="F510" i="28"/>
  <c r="D510" i="28"/>
  <c r="F509" i="28"/>
  <c r="D509" i="28"/>
  <c r="F508" i="28"/>
  <c r="D508" i="28"/>
  <c r="F507" i="28"/>
  <c r="D507" i="28"/>
  <c r="F506" i="28"/>
  <c r="D506" i="28"/>
  <c r="F505" i="28"/>
  <c r="D505" i="28"/>
  <c r="F504" i="28"/>
  <c r="D504" i="28"/>
  <c r="F503" i="28"/>
  <c r="D503" i="28"/>
  <c r="F502" i="28"/>
  <c r="D502" i="28"/>
  <c r="F501" i="28"/>
  <c r="D501" i="28"/>
  <c r="F500" i="28"/>
  <c r="D500" i="28"/>
  <c r="F499" i="28"/>
  <c r="D499" i="28"/>
  <c r="F498" i="28"/>
  <c r="D498" i="28"/>
  <c r="F497" i="28"/>
  <c r="D497" i="28"/>
  <c r="F496" i="28"/>
  <c r="D496" i="28"/>
  <c r="F495" i="28"/>
  <c r="D495" i="28"/>
  <c r="F494" i="28"/>
  <c r="D494" i="28"/>
  <c r="F493" i="28"/>
  <c r="D493" i="28"/>
  <c r="F492" i="28"/>
  <c r="D492" i="28"/>
  <c r="F491" i="28"/>
  <c r="D491" i="28"/>
  <c r="F490" i="28"/>
  <c r="D490" i="28"/>
  <c r="F489" i="28"/>
  <c r="D489" i="28"/>
  <c r="F488" i="28"/>
  <c r="D488" i="28"/>
  <c r="F487" i="28"/>
  <c r="D487" i="28"/>
  <c r="F486" i="28"/>
  <c r="D486" i="28"/>
  <c r="F485" i="28"/>
  <c r="D485" i="28"/>
  <c r="F484" i="28"/>
  <c r="D484" i="28"/>
  <c r="F483" i="28"/>
  <c r="D483" i="28"/>
  <c r="F482" i="28"/>
  <c r="D482" i="28"/>
  <c r="F481" i="28"/>
  <c r="D481" i="28"/>
  <c r="F480" i="28"/>
  <c r="D480" i="28"/>
  <c r="F479" i="28"/>
  <c r="D479" i="28"/>
  <c r="F478" i="28"/>
  <c r="D478" i="28"/>
  <c r="F477" i="28"/>
  <c r="D477" i="28"/>
  <c r="F476" i="28"/>
  <c r="D476" i="28"/>
  <c r="F475" i="28"/>
  <c r="D475" i="28"/>
  <c r="F474" i="28"/>
  <c r="D474" i="28"/>
  <c r="F473" i="28"/>
  <c r="D473" i="28"/>
  <c r="F472" i="28"/>
  <c r="D472" i="28"/>
  <c r="F471" i="28"/>
  <c r="D471" i="28"/>
  <c r="F470" i="28"/>
  <c r="D470" i="28"/>
  <c r="F469" i="28"/>
  <c r="D469" i="28"/>
  <c r="F468" i="28"/>
  <c r="D468" i="28"/>
  <c r="F467" i="28"/>
  <c r="D467" i="28"/>
  <c r="F466" i="28"/>
  <c r="D466" i="28"/>
  <c r="F465" i="28"/>
  <c r="D465" i="28"/>
  <c r="F464" i="28"/>
  <c r="D464" i="28"/>
  <c r="F463" i="28"/>
  <c r="D463" i="28"/>
  <c r="F462" i="28"/>
  <c r="D462" i="28"/>
  <c r="F461" i="28"/>
  <c r="D461" i="28"/>
  <c r="F460" i="28"/>
  <c r="D460" i="28"/>
  <c r="F459" i="28"/>
  <c r="D459" i="28"/>
  <c r="F458" i="28"/>
  <c r="D458" i="28"/>
  <c r="F457" i="28"/>
  <c r="D457" i="28"/>
  <c r="F456" i="28"/>
  <c r="D456" i="28"/>
  <c r="F455" i="28"/>
  <c r="D455" i="28"/>
  <c r="F454" i="28"/>
  <c r="D454" i="28"/>
  <c r="F453" i="28"/>
  <c r="D453" i="28"/>
  <c r="F452" i="28"/>
  <c r="D452" i="28"/>
  <c r="F451" i="28"/>
  <c r="D451" i="28"/>
  <c r="F450" i="28"/>
  <c r="D450" i="28"/>
  <c r="F449" i="28"/>
  <c r="D449" i="28"/>
  <c r="F448" i="28"/>
  <c r="D448" i="28"/>
  <c r="F447" i="28"/>
  <c r="D447" i="28"/>
  <c r="F446" i="28"/>
  <c r="D446" i="28"/>
  <c r="F445" i="28"/>
  <c r="D445" i="28"/>
  <c r="F444" i="28"/>
  <c r="D444" i="28"/>
  <c r="F443" i="28"/>
  <c r="D443" i="28"/>
  <c r="F442" i="28"/>
  <c r="D442" i="28"/>
  <c r="F441" i="28"/>
  <c r="D441" i="28"/>
  <c r="F440" i="28"/>
  <c r="D440" i="28"/>
  <c r="F439" i="28"/>
  <c r="D439" i="28"/>
  <c r="F438" i="28"/>
  <c r="D438" i="28"/>
  <c r="F437" i="28"/>
  <c r="D437" i="28"/>
  <c r="F436" i="28"/>
  <c r="D436" i="28"/>
  <c r="F435" i="28"/>
  <c r="D435" i="28"/>
  <c r="F434" i="28"/>
  <c r="D434" i="28"/>
  <c r="F433" i="28"/>
  <c r="D433" i="28"/>
  <c r="F432" i="28"/>
  <c r="D432" i="28"/>
  <c r="F431" i="28"/>
  <c r="D431" i="28"/>
  <c r="F430" i="28"/>
  <c r="D430" i="28"/>
  <c r="F429" i="28"/>
  <c r="D429" i="28"/>
  <c r="F428" i="28"/>
  <c r="D428" i="28"/>
  <c r="F427" i="28"/>
  <c r="D427" i="28"/>
  <c r="F426" i="28"/>
  <c r="D426" i="28"/>
  <c r="F425" i="28"/>
  <c r="D425" i="28"/>
  <c r="F424" i="28"/>
  <c r="D424" i="28"/>
  <c r="F423" i="28"/>
  <c r="D423" i="28"/>
  <c r="F422" i="28"/>
  <c r="D422" i="28"/>
  <c r="F421" i="28"/>
  <c r="D421" i="28"/>
  <c r="F420" i="28"/>
  <c r="D420" i="28"/>
  <c r="F419" i="28"/>
  <c r="D419" i="28"/>
  <c r="F418" i="28"/>
  <c r="D418" i="28"/>
  <c r="F417" i="28"/>
  <c r="D417" i="28"/>
  <c r="F416" i="28"/>
  <c r="D416" i="28"/>
  <c r="F415" i="28"/>
  <c r="D415" i="28"/>
  <c r="F414" i="28"/>
  <c r="D414" i="28"/>
  <c r="F413" i="28"/>
  <c r="D413" i="28"/>
  <c r="F412" i="28"/>
  <c r="D412" i="28"/>
  <c r="F411" i="28"/>
  <c r="D411" i="28"/>
  <c r="F410" i="28"/>
  <c r="D410" i="28"/>
  <c r="F409" i="28"/>
  <c r="D409" i="28"/>
  <c r="F408" i="28"/>
  <c r="D408" i="28"/>
  <c r="F407" i="28"/>
  <c r="D407" i="28"/>
  <c r="F406" i="28"/>
  <c r="D406" i="28"/>
  <c r="F405" i="28"/>
  <c r="D405" i="28"/>
  <c r="F404" i="28"/>
  <c r="D404" i="28"/>
  <c r="F403" i="28"/>
  <c r="D403" i="28"/>
  <c r="F402" i="28"/>
  <c r="D402" i="28"/>
  <c r="F401" i="28"/>
  <c r="D401" i="28"/>
  <c r="F400" i="28"/>
  <c r="D400" i="28"/>
  <c r="F399" i="28"/>
  <c r="D399" i="28"/>
  <c r="F398" i="28"/>
  <c r="D398" i="28"/>
  <c r="F397" i="28"/>
  <c r="D397" i="28"/>
  <c r="F396" i="28"/>
  <c r="D396" i="28"/>
  <c r="F395" i="28"/>
  <c r="D395" i="28"/>
  <c r="F394" i="28"/>
  <c r="D394" i="28"/>
  <c r="F393" i="28"/>
  <c r="D393" i="28"/>
  <c r="F392" i="28"/>
  <c r="D392" i="28"/>
  <c r="F391" i="28"/>
  <c r="D391" i="28"/>
  <c r="F390" i="28"/>
  <c r="D390" i="28"/>
  <c r="F389" i="28"/>
  <c r="D389" i="28"/>
  <c r="F388" i="28"/>
  <c r="D388" i="28"/>
  <c r="F387" i="28"/>
  <c r="D387" i="28"/>
  <c r="F386" i="28"/>
  <c r="D386" i="28"/>
  <c r="F385" i="28"/>
  <c r="D385" i="28"/>
  <c r="F384" i="28"/>
  <c r="D384" i="28"/>
  <c r="F383" i="28"/>
  <c r="D383" i="28"/>
  <c r="F382" i="28"/>
  <c r="D382" i="28"/>
  <c r="F381" i="28"/>
  <c r="D381" i="28"/>
  <c r="F380" i="28"/>
  <c r="D380" i="28"/>
  <c r="F379" i="28"/>
  <c r="D379" i="28"/>
  <c r="F378" i="28"/>
  <c r="D378" i="28"/>
  <c r="F377" i="28"/>
  <c r="D377" i="28"/>
  <c r="F376" i="28"/>
  <c r="D376" i="28"/>
  <c r="F375" i="28"/>
  <c r="D375" i="28"/>
  <c r="F374" i="28"/>
  <c r="D374" i="28"/>
  <c r="F373" i="28"/>
  <c r="D373" i="28"/>
  <c r="F372" i="28"/>
  <c r="D372" i="28"/>
  <c r="F371" i="28"/>
  <c r="D371" i="28"/>
  <c r="F370" i="28"/>
  <c r="D370" i="28"/>
  <c r="F369" i="28"/>
  <c r="D369" i="28"/>
  <c r="F368" i="28"/>
  <c r="D368" i="28"/>
  <c r="F367" i="28"/>
  <c r="D367" i="28"/>
  <c r="F366" i="28"/>
  <c r="D366" i="28"/>
  <c r="F365" i="28"/>
  <c r="D365" i="28"/>
  <c r="F364" i="28"/>
  <c r="D364" i="28"/>
  <c r="F363" i="28"/>
  <c r="D363" i="28"/>
  <c r="F362" i="28"/>
  <c r="D362" i="28"/>
  <c r="F361" i="28"/>
  <c r="D361" i="28"/>
  <c r="F360" i="28"/>
  <c r="D360" i="28"/>
  <c r="F359" i="28"/>
  <c r="D359" i="28"/>
  <c r="F358" i="28"/>
  <c r="D358" i="28"/>
  <c r="F357" i="28"/>
  <c r="D357" i="28"/>
  <c r="F356" i="28"/>
  <c r="D356" i="28"/>
  <c r="F355" i="28"/>
  <c r="D355" i="28"/>
  <c r="F354" i="28"/>
  <c r="D354" i="28"/>
  <c r="F353" i="28"/>
  <c r="D353" i="28"/>
  <c r="F352" i="28"/>
  <c r="D352" i="28"/>
  <c r="F351" i="28"/>
  <c r="D351" i="28"/>
  <c r="F350" i="28"/>
  <c r="D350" i="28"/>
  <c r="F349" i="28"/>
  <c r="D349" i="28"/>
  <c r="F348" i="28"/>
  <c r="D348" i="28"/>
  <c r="F347" i="28"/>
  <c r="D347" i="28"/>
  <c r="F346" i="28"/>
  <c r="D346" i="28"/>
  <c r="F345" i="28"/>
  <c r="D345" i="28"/>
  <c r="F344" i="28"/>
  <c r="D344" i="28"/>
  <c r="F343" i="28"/>
  <c r="D343" i="28"/>
  <c r="F342" i="28"/>
  <c r="D342" i="28"/>
  <c r="F341" i="28"/>
  <c r="D341" i="28"/>
  <c r="F340" i="28"/>
  <c r="D340" i="28"/>
  <c r="F339" i="28"/>
  <c r="D339" i="28"/>
  <c r="F338" i="28"/>
  <c r="D338" i="28"/>
  <c r="F337" i="28"/>
  <c r="D337" i="28"/>
  <c r="F336" i="28"/>
  <c r="D336" i="28"/>
  <c r="F335" i="28"/>
  <c r="D335" i="28"/>
  <c r="F334" i="28"/>
  <c r="D334" i="28"/>
  <c r="F333" i="28"/>
  <c r="D333" i="28"/>
  <c r="F332" i="28"/>
  <c r="D332" i="28"/>
  <c r="F331" i="28"/>
  <c r="D331" i="28"/>
  <c r="F330" i="28"/>
  <c r="D330" i="28"/>
  <c r="F329" i="28"/>
  <c r="D329" i="28"/>
  <c r="F328" i="28"/>
  <c r="D328" i="28"/>
  <c r="F327" i="28"/>
  <c r="D327" i="28"/>
  <c r="F326" i="28"/>
  <c r="D326" i="28"/>
  <c r="F325" i="28"/>
  <c r="D325" i="28"/>
  <c r="F324" i="28"/>
  <c r="D324" i="28"/>
  <c r="F323" i="28"/>
  <c r="D323" i="28"/>
  <c r="F322" i="28"/>
  <c r="D322" i="28"/>
  <c r="F321" i="28"/>
  <c r="D321" i="28"/>
  <c r="F320" i="28"/>
  <c r="D320" i="28"/>
  <c r="F319" i="28"/>
  <c r="D319" i="28"/>
  <c r="F318" i="28"/>
  <c r="D318" i="28"/>
  <c r="F317" i="28"/>
  <c r="D317" i="28"/>
  <c r="F316" i="28"/>
  <c r="D316" i="28"/>
  <c r="F315" i="28"/>
  <c r="D315" i="28"/>
  <c r="F314" i="28"/>
  <c r="D314" i="28"/>
  <c r="F313" i="28"/>
  <c r="D313" i="28"/>
  <c r="F312" i="28"/>
  <c r="D312" i="28"/>
  <c r="F311" i="28"/>
  <c r="D311" i="28"/>
  <c r="F310" i="28"/>
  <c r="D310" i="28"/>
  <c r="F309" i="28"/>
  <c r="D309" i="28"/>
  <c r="F308" i="28"/>
  <c r="D308" i="28"/>
  <c r="F307" i="28"/>
  <c r="D307" i="28"/>
  <c r="F306" i="28"/>
  <c r="D306" i="28"/>
  <c r="F305" i="28"/>
  <c r="D305" i="28"/>
  <c r="F304" i="28"/>
  <c r="D304" i="28"/>
  <c r="F303" i="28"/>
  <c r="D303" i="28"/>
  <c r="F302" i="28"/>
  <c r="D302" i="28"/>
  <c r="F301" i="28"/>
  <c r="D301" i="28"/>
  <c r="F300" i="28"/>
  <c r="D300" i="28"/>
  <c r="F299" i="28"/>
  <c r="D299" i="28"/>
  <c r="F298" i="28"/>
  <c r="D298" i="28"/>
  <c r="F297" i="28"/>
  <c r="D297" i="28"/>
  <c r="F296" i="28"/>
  <c r="D296" i="28"/>
  <c r="F295" i="28"/>
  <c r="D295" i="28"/>
  <c r="F294" i="28"/>
  <c r="D294" i="28"/>
  <c r="F293" i="28"/>
  <c r="D293" i="28"/>
  <c r="F292" i="28"/>
  <c r="D292" i="28"/>
  <c r="F291" i="28"/>
  <c r="D291" i="28"/>
  <c r="F290" i="28"/>
  <c r="D290" i="28"/>
  <c r="F289" i="28"/>
  <c r="D289" i="28"/>
  <c r="F288" i="28"/>
  <c r="D288" i="28"/>
  <c r="F287" i="28"/>
  <c r="D287" i="28"/>
  <c r="F286" i="28"/>
  <c r="D286" i="28"/>
  <c r="F285" i="28"/>
  <c r="D285" i="28"/>
  <c r="F284" i="28"/>
  <c r="D284" i="28"/>
  <c r="F283" i="28"/>
  <c r="D283" i="28"/>
  <c r="F282" i="28"/>
  <c r="D282" i="28"/>
  <c r="F281" i="28"/>
  <c r="D281" i="28"/>
  <c r="F280" i="28"/>
  <c r="D280" i="28"/>
  <c r="F279" i="28"/>
  <c r="D279" i="28"/>
  <c r="F278" i="28"/>
  <c r="D278" i="28"/>
  <c r="F277" i="28"/>
  <c r="D277" i="28"/>
  <c r="F276" i="28"/>
  <c r="D276" i="28"/>
  <c r="F275" i="28"/>
  <c r="D275" i="28"/>
  <c r="F274" i="28"/>
  <c r="D274" i="28"/>
  <c r="F273" i="28"/>
  <c r="D273" i="28"/>
  <c r="F272" i="28"/>
  <c r="D272" i="28"/>
  <c r="F271" i="28"/>
  <c r="D271" i="28"/>
  <c r="F270" i="28"/>
  <c r="D270" i="28"/>
  <c r="F269" i="28"/>
  <c r="D269" i="28"/>
  <c r="F268" i="28"/>
  <c r="D268" i="28"/>
  <c r="F267" i="28"/>
  <c r="D267" i="28"/>
  <c r="F266" i="28"/>
  <c r="D266" i="28"/>
  <c r="F265" i="28"/>
  <c r="D265" i="28"/>
  <c r="F264" i="28"/>
  <c r="D264" i="28"/>
  <c r="F263" i="28"/>
  <c r="D263" i="28"/>
  <c r="F262" i="28"/>
  <c r="D262" i="28"/>
  <c r="F261" i="28"/>
  <c r="D261" i="28"/>
  <c r="F260" i="28"/>
  <c r="D260" i="28"/>
  <c r="F259" i="28"/>
  <c r="D259" i="28"/>
  <c r="F258" i="28"/>
  <c r="D258" i="28"/>
  <c r="F257" i="28"/>
  <c r="D257" i="28"/>
  <c r="F256" i="28"/>
  <c r="D256" i="28"/>
  <c r="F255" i="28"/>
  <c r="D255" i="28"/>
  <c r="F254" i="28"/>
  <c r="D254" i="28"/>
  <c r="F253" i="28"/>
  <c r="D253" i="28"/>
  <c r="F252" i="28"/>
  <c r="D252" i="28"/>
  <c r="F251" i="28"/>
  <c r="D251" i="28"/>
  <c r="F250" i="28"/>
  <c r="D250" i="28"/>
  <c r="F249" i="28"/>
  <c r="D249" i="28"/>
  <c r="F248" i="28"/>
  <c r="D248" i="28"/>
  <c r="F247" i="28"/>
  <c r="D247" i="28"/>
  <c r="F246" i="28"/>
  <c r="D246" i="28"/>
  <c r="F245" i="28"/>
  <c r="D245" i="28"/>
  <c r="F244" i="28"/>
  <c r="D244" i="28"/>
  <c r="F243" i="28"/>
  <c r="D243" i="28"/>
  <c r="F242" i="28"/>
  <c r="D242" i="28"/>
  <c r="F241" i="28"/>
  <c r="D241" i="28"/>
  <c r="F240" i="28"/>
  <c r="D240" i="28"/>
  <c r="F239" i="28"/>
  <c r="D239" i="28"/>
  <c r="F238" i="28"/>
  <c r="D238" i="28"/>
  <c r="F237" i="28"/>
  <c r="D237" i="28"/>
  <c r="F236" i="28"/>
  <c r="D236" i="28"/>
  <c r="F235" i="28"/>
  <c r="D235" i="28"/>
  <c r="F234" i="28"/>
  <c r="D234" i="28"/>
  <c r="F233" i="28"/>
  <c r="D233" i="28"/>
  <c r="F232" i="28"/>
  <c r="D232" i="28"/>
  <c r="F231" i="28"/>
  <c r="D231" i="28"/>
  <c r="F230" i="28"/>
  <c r="D230" i="28"/>
  <c r="F229" i="28"/>
  <c r="D229" i="28"/>
  <c r="F228" i="28"/>
  <c r="D228" i="28"/>
  <c r="F227" i="28"/>
  <c r="D227" i="28"/>
  <c r="F226" i="28"/>
  <c r="D226" i="28"/>
  <c r="F225" i="28"/>
  <c r="D225" i="28"/>
  <c r="F224" i="28"/>
  <c r="D224" i="28"/>
  <c r="F223" i="28"/>
  <c r="D223" i="28"/>
  <c r="F222" i="28"/>
  <c r="D222" i="28"/>
  <c r="F221" i="28"/>
  <c r="D221" i="28"/>
  <c r="F220" i="28"/>
  <c r="D220" i="28"/>
  <c r="F219" i="28"/>
  <c r="D219" i="28"/>
  <c r="F218" i="28"/>
  <c r="D218" i="28"/>
  <c r="F217" i="28"/>
  <c r="D217" i="28"/>
  <c r="F216" i="28"/>
  <c r="D216" i="28"/>
  <c r="F215" i="28"/>
  <c r="D215" i="28"/>
  <c r="F214" i="28"/>
  <c r="D214" i="28"/>
  <c r="F213" i="28"/>
  <c r="D213" i="28"/>
  <c r="F212" i="28"/>
  <c r="D212" i="28"/>
  <c r="F211" i="28"/>
  <c r="D211" i="28"/>
  <c r="F210" i="28"/>
  <c r="D210" i="28"/>
  <c r="F209" i="28"/>
  <c r="D209" i="28"/>
  <c r="F208" i="28"/>
  <c r="D208" i="28"/>
  <c r="F207" i="28"/>
  <c r="D207" i="28"/>
  <c r="F206" i="28"/>
  <c r="D206" i="28"/>
  <c r="F205" i="28"/>
  <c r="D205" i="28"/>
  <c r="F204" i="28"/>
  <c r="D204" i="28"/>
  <c r="F203" i="28"/>
  <c r="D203" i="28"/>
  <c r="F202" i="28"/>
  <c r="D202" i="28"/>
  <c r="F201" i="28"/>
  <c r="D201" i="28"/>
  <c r="F200" i="28"/>
  <c r="D200" i="28"/>
  <c r="F199" i="28"/>
  <c r="D199" i="28"/>
  <c r="F198" i="28"/>
  <c r="D198" i="28"/>
  <c r="F197" i="28"/>
  <c r="D197" i="28"/>
  <c r="F196" i="28"/>
  <c r="D196" i="28"/>
  <c r="F195" i="28"/>
  <c r="D195" i="28"/>
  <c r="F194" i="28"/>
  <c r="D194" i="28"/>
  <c r="F193" i="28"/>
  <c r="D193" i="28"/>
  <c r="F192" i="28"/>
  <c r="D192" i="28"/>
  <c r="F191" i="28"/>
  <c r="D191" i="28"/>
  <c r="F190" i="28"/>
  <c r="D190" i="28"/>
  <c r="F189" i="28"/>
  <c r="D189" i="28"/>
  <c r="F188" i="28"/>
  <c r="D188" i="28"/>
  <c r="F187" i="28"/>
  <c r="D187" i="28"/>
  <c r="F186" i="28"/>
  <c r="D186" i="28"/>
  <c r="F185" i="28"/>
  <c r="D185" i="28"/>
  <c r="F184" i="28"/>
  <c r="D184" i="28"/>
  <c r="F183" i="28"/>
  <c r="D183" i="28"/>
  <c r="F182" i="28"/>
  <c r="D182" i="28"/>
  <c r="F181" i="28"/>
  <c r="D181" i="28"/>
  <c r="F180" i="28"/>
  <c r="D180" i="28"/>
  <c r="F179" i="28"/>
  <c r="D179" i="28"/>
  <c r="F178" i="28"/>
  <c r="D178" i="28"/>
  <c r="F177" i="28"/>
  <c r="D177" i="28"/>
  <c r="F176" i="28"/>
  <c r="D176" i="28"/>
  <c r="F175" i="28"/>
  <c r="D175" i="28"/>
  <c r="F174" i="28"/>
  <c r="D174" i="28"/>
  <c r="F173" i="28"/>
  <c r="D173" i="28"/>
  <c r="F172" i="28"/>
  <c r="D172" i="28"/>
  <c r="F171" i="28"/>
  <c r="D171" i="28"/>
  <c r="F170" i="28"/>
  <c r="D170" i="28"/>
  <c r="F169" i="28"/>
  <c r="D169" i="28"/>
  <c r="F168" i="28"/>
  <c r="D168" i="28"/>
  <c r="F167" i="28"/>
  <c r="D167" i="28"/>
  <c r="F166" i="28"/>
  <c r="D166" i="28"/>
  <c r="F165" i="28"/>
  <c r="D165" i="28"/>
  <c r="F164" i="28"/>
  <c r="D164" i="28"/>
  <c r="F163" i="28"/>
  <c r="D163" i="28"/>
  <c r="F162" i="28"/>
  <c r="D162" i="28"/>
  <c r="F161" i="28"/>
  <c r="D161" i="28"/>
  <c r="F160" i="28"/>
  <c r="D160" i="28"/>
  <c r="F159" i="28"/>
  <c r="D159" i="28"/>
  <c r="F158" i="28"/>
  <c r="D158" i="28"/>
  <c r="F157" i="28"/>
  <c r="D157" i="28"/>
  <c r="F156" i="28"/>
  <c r="D156" i="28"/>
  <c r="F155" i="28"/>
  <c r="D155" i="28"/>
  <c r="F154" i="28"/>
  <c r="D154" i="28"/>
  <c r="F153" i="28"/>
  <c r="D153" i="28"/>
  <c r="F152" i="28"/>
  <c r="D152" i="28"/>
  <c r="F151" i="28"/>
  <c r="D151" i="28"/>
  <c r="F150" i="28"/>
  <c r="D150" i="28"/>
  <c r="F149" i="28"/>
  <c r="D149" i="28"/>
  <c r="F148" i="28"/>
  <c r="D148" i="28"/>
  <c r="F147" i="28"/>
  <c r="D147" i="28"/>
  <c r="F146" i="28"/>
  <c r="D146" i="28"/>
  <c r="F145" i="28"/>
  <c r="D145" i="28"/>
  <c r="F144" i="28"/>
  <c r="D144" i="28"/>
  <c r="F143" i="28"/>
  <c r="D143" i="28"/>
  <c r="F142" i="28"/>
  <c r="D142" i="28"/>
  <c r="F141" i="28"/>
  <c r="D141" i="28"/>
  <c r="F140" i="28"/>
  <c r="D140" i="28"/>
  <c r="F139" i="28"/>
  <c r="D139" i="28"/>
  <c r="F138" i="28"/>
  <c r="D138" i="28"/>
  <c r="F137" i="28"/>
  <c r="D137" i="28"/>
  <c r="F136" i="28"/>
  <c r="D136" i="28"/>
  <c r="F135" i="28"/>
  <c r="D135" i="28"/>
  <c r="F134" i="28"/>
  <c r="D134" i="28"/>
  <c r="F133" i="28"/>
  <c r="D133" i="28"/>
  <c r="F132" i="28"/>
  <c r="D132" i="28"/>
  <c r="F131" i="28"/>
  <c r="D131" i="28"/>
  <c r="F130" i="28"/>
  <c r="D130" i="28"/>
  <c r="F129" i="28"/>
  <c r="D129" i="28"/>
  <c r="F128" i="28"/>
  <c r="D128" i="28"/>
  <c r="F127" i="28"/>
  <c r="D127" i="28"/>
  <c r="F126" i="28"/>
  <c r="D126" i="28"/>
  <c r="F125" i="28"/>
  <c r="D125" i="28"/>
  <c r="F124" i="28"/>
  <c r="D124" i="28"/>
  <c r="F123" i="28"/>
  <c r="D123" i="28"/>
  <c r="F122" i="28"/>
  <c r="D122" i="28"/>
  <c r="F121" i="28"/>
  <c r="D121" i="28"/>
  <c r="F120" i="28"/>
  <c r="D120" i="28"/>
  <c r="F119" i="28"/>
  <c r="D119" i="28"/>
  <c r="F118" i="28"/>
  <c r="D118" i="28"/>
  <c r="F117" i="28"/>
  <c r="D117" i="28"/>
  <c r="F116" i="28"/>
  <c r="D116" i="28"/>
  <c r="F115" i="28"/>
  <c r="D115" i="28"/>
  <c r="F114" i="28"/>
  <c r="D114" i="28"/>
  <c r="F113" i="28"/>
  <c r="D113" i="28"/>
  <c r="F112" i="28"/>
  <c r="D112" i="28"/>
  <c r="F111" i="28"/>
  <c r="D111" i="28"/>
  <c r="F110" i="28"/>
  <c r="D110" i="28"/>
  <c r="F109" i="28"/>
  <c r="D109" i="28"/>
  <c r="F108" i="28"/>
  <c r="D108" i="28"/>
  <c r="F107" i="28"/>
  <c r="D107" i="28"/>
  <c r="F106" i="28"/>
  <c r="D106" i="28"/>
  <c r="F105" i="28"/>
  <c r="D105" i="28"/>
  <c r="F104" i="28"/>
  <c r="D104" i="28"/>
  <c r="F103" i="28"/>
  <c r="D103" i="28"/>
  <c r="F102" i="28"/>
  <c r="D102" i="28"/>
  <c r="F101" i="28"/>
  <c r="D101" i="28"/>
  <c r="F100" i="28"/>
  <c r="D100" i="28"/>
  <c r="F99" i="28"/>
  <c r="D99" i="28"/>
  <c r="F98" i="28"/>
  <c r="D98" i="28"/>
  <c r="F97" i="28"/>
  <c r="D97" i="28"/>
  <c r="F96" i="28"/>
  <c r="D96" i="28"/>
  <c r="F95" i="28"/>
  <c r="D95" i="28"/>
  <c r="F94" i="28"/>
  <c r="D94" i="28"/>
  <c r="F93" i="28"/>
  <c r="D93" i="28"/>
  <c r="F92" i="28"/>
  <c r="D92" i="28"/>
  <c r="F91" i="28"/>
  <c r="D91" i="28"/>
  <c r="F90" i="28"/>
  <c r="D90" i="28"/>
  <c r="F89" i="28"/>
  <c r="D89" i="28"/>
  <c r="F88" i="28"/>
  <c r="D88" i="28"/>
  <c r="F87" i="28"/>
  <c r="D87" i="28"/>
  <c r="F86" i="28"/>
  <c r="D86" i="28"/>
  <c r="F85" i="28"/>
  <c r="D85" i="28"/>
  <c r="F84" i="28"/>
  <c r="D84" i="28"/>
  <c r="F83" i="28"/>
  <c r="D83" i="28"/>
  <c r="F82" i="28"/>
  <c r="D82" i="28"/>
  <c r="F81" i="28"/>
  <c r="D81" i="28"/>
  <c r="F80" i="28"/>
  <c r="D80" i="28"/>
  <c r="F79" i="28"/>
  <c r="D79" i="28"/>
  <c r="F78" i="28"/>
  <c r="D78" i="28"/>
  <c r="F77" i="28"/>
  <c r="D77" i="28"/>
  <c r="F76" i="28"/>
  <c r="D76" i="28"/>
  <c r="F75" i="28"/>
  <c r="D75" i="28"/>
  <c r="F74" i="28"/>
  <c r="D74" i="28"/>
  <c r="F73" i="28"/>
  <c r="D73" i="28"/>
  <c r="F72" i="28"/>
  <c r="D72" i="28"/>
  <c r="F71" i="28"/>
  <c r="D71" i="28"/>
  <c r="F70" i="28"/>
  <c r="D70" i="28"/>
  <c r="F69" i="28"/>
  <c r="D69" i="28"/>
  <c r="F68" i="28"/>
  <c r="D68" i="28"/>
  <c r="F67" i="28"/>
  <c r="D67" i="28"/>
  <c r="F66" i="28"/>
  <c r="D66" i="28"/>
  <c r="F65" i="28"/>
  <c r="D65" i="28"/>
  <c r="F64" i="28"/>
  <c r="D64" i="28"/>
  <c r="F63" i="28"/>
  <c r="D63" i="28"/>
  <c r="F62" i="28"/>
  <c r="D62" i="28"/>
  <c r="F61" i="28"/>
  <c r="D61" i="28"/>
  <c r="F60" i="28"/>
  <c r="D60" i="28"/>
  <c r="F59" i="28"/>
  <c r="D59" i="28"/>
  <c r="F58" i="28"/>
  <c r="D58" i="28"/>
  <c r="F57" i="28"/>
  <c r="D57" i="28"/>
  <c r="F56" i="28"/>
  <c r="D56" i="28"/>
  <c r="F55" i="28"/>
  <c r="D55" i="28"/>
  <c r="F54" i="28"/>
  <c r="D54" i="28"/>
  <c r="F53" i="28"/>
  <c r="D53" i="28"/>
  <c r="F52" i="28"/>
  <c r="D52" i="28"/>
  <c r="F51" i="28"/>
  <c r="D51" i="28"/>
  <c r="F50" i="28"/>
  <c r="D50" i="28"/>
  <c r="F49" i="28"/>
  <c r="D49" i="28"/>
  <c r="F48" i="28"/>
  <c r="D48" i="28"/>
  <c r="F47" i="28"/>
  <c r="D47" i="28"/>
  <c r="F46" i="28"/>
  <c r="D46" i="28"/>
  <c r="F45" i="28"/>
  <c r="D45" i="28"/>
  <c r="F44" i="28"/>
  <c r="D44" i="28"/>
  <c r="F43" i="28"/>
  <c r="D43" i="28"/>
  <c r="F42" i="28"/>
  <c r="D42" i="28"/>
  <c r="F41" i="28"/>
  <c r="D41" i="28"/>
  <c r="F40" i="28"/>
  <c r="D40" i="28"/>
  <c r="F39" i="28"/>
  <c r="D39" i="28"/>
  <c r="F38" i="28"/>
  <c r="D38" i="28"/>
  <c r="F37" i="28"/>
  <c r="D37" i="28"/>
  <c r="F36" i="28"/>
  <c r="D36" i="28"/>
  <c r="F35" i="28"/>
  <c r="D35" i="28"/>
  <c r="F34" i="28"/>
  <c r="D34" i="28"/>
  <c r="F33" i="28"/>
  <c r="D33" i="28"/>
  <c r="F32" i="28"/>
  <c r="D32" i="28"/>
  <c r="F31" i="28"/>
  <c r="D31" i="28"/>
  <c r="F30" i="28"/>
  <c r="D30" i="28"/>
  <c r="F29" i="28"/>
  <c r="D29" i="28"/>
  <c r="I11" i="24"/>
  <c r="I12" i="24"/>
  <c r="F10" i="28" l="1"/>
  <c r="D12" i="28"/>
  <c r="D10" i="28"/>
  <c r="D17" i="28"/>
  <c r="I10" i="24" s="1"/>
  <c r="I21" i="24" s="1"/>
  <c r="D14" i="28" l="1"/>
  <c r="F17" i="28" s="1"/>
  <c r="L28" i="25"/>
  <c r="L29" i="25" s="1"/>
  <c r="K28" i="25"/>
  <c r="K29" i="25" s="1"/>
  <c r="J28" i="25"/>
  <c r="J29" i="25" s="1"/>
  <c r="I28" i="25"/>
  <c r="I29" i="25" s="1"/>
  <c r="H28" i="25"/>
  <c r="H29" i="25" s="1"/>
  <c r="G28" i="25"/>
  <c r="G29" i="25" s="1"/>
  <c r="F28" i="25"/>
  <c r="F29" i="25" s="1"/>
  <c r="E28" i="25"/>
  <c r="E29" i="25" s="1"/>
  <c r="D28" i="25"/>
  <c r="D29" i="25" s="1"/>
  <c r="G27" i="25"/>
  <c r="F27" i="25"/>
  <c r="E27" i="25"/>
  <c r="D27" i="25"/>
  <c r="G26" i="25"/>
  <c r="F26" i="25"/>
  <c r="E26" i="25"/>
  <c r="D26" i="25"/>
  <c r="G23" i="25"/>
  <c r="F23" i="25"/>
  <c r="E23" i="25"/>
  <c r="D23" i="25"/>
  <c r="G21" i="25"/>
  <c r="G25" i="25" s="1"/>
  <c r="F21" i="25"/>
  <c r="F25" i="25" s="1"/>
  <c r="E21" i="25"/>
  <c r="E25" i="25" s="1"/>
  <c r="D21" i="25"/>
  <c r="D25" i="25" s="1"/>
  <c r="C27" i="25"/>
  <c r="C26" i="25"/>
  <c r="C23" i="25"/>
  <c r="C21" i="25"/>
  <c r="C25" i="25" s="1"/>
  <c r="D45" i="25"/>
  <c r="K34" i="25"/>
  <c r="L34" i="25" s="1"/>
  <c r="H33" i="25"/>
  <c r="H34" i="25" s="1"/>
  <c r="D18" i="25"/>
  <c r="E18" i="25" s="1"/>
  <c r="F18" i="25" s="1"/>
  <c r="G18" i="25" s="1"/>
  <c r="H18" i="25" s="1"/>
  <c r="I18" i="25" s="1"/>
  <c r="J18" i="25" s="1"/>
  <c r="K18" i="25" s="1"/>
  <c r="L18" i="25" s="1"/>
  <c r="C28" i="24"/>
  <c r="L42" i="4"/>
  <c r="K42" i="4"/>
  <c r="J42" i="4"/>
  <c r="I42" i="4"/>
  <c r="H42" i="4"/>
  <c r="L18" i="22"/>
  <c r="K18" i="22"/>
  <c r="J18" i="22"/>
  <c r="I18" i="22"/>
  <c r="H18" i="22"/>
  <c r="G18" i="22"/>
  <c r="F18" i="22"/>
  <c r="E18" i="22"/>
  <c r="D18" i="22"/>
  <c r="C18" i="22"/>
  <c r="G67" i="21"/>
  <c r="F67" i="21"/>
  <c r="E67" i="21"/>
  <c r="D67" i="21"/>
  <c r="C67" i="21"/>
  <c r="C61" i="21"/>
  <c r="G66" i="21"/>
  <c r="F66" i="21"/>
  <c r="E66" i="21"/>
  <c r="D66" i="21"/>
  <c r="C66" i="21"/>
  <c r="C60" i="21"/>
  <c r="G60" i="21"/>
  <c r="F60" i="21"/>
  <c r="E60" i="21"/>
  <c r="D60" i="21"/>
  <c r="C54" i="21"/>
  <c r="G61" i="21"/>
  <c r="F61" i="21"/>
  <c r="E61" i="21"/>
  <c r="D61" i="21"/>
  <c r="C55" i="21"/>
  <c r="G55" i="21"/>
  <c r="F55" i="21"/>
  <c r="E55" i="21"/>
  <c r="D55" i="21"/>
  <c r="G54" i="21"/>
  <c r="F54" i="21"/>
  <c r="E54" i="21"/>
  <c r="D54" i="21"/>
  <c r="C63" i="21" l="1"/>
  <c r="D63" i="21"/>
  <c r="E69" i="21"/>
  <c r="F69" i="21"/>
  <c r="D69" i="21"/>
  <c r="G63" i="21"/>
  <c r="I34" i="25"/>
  <c r="I35" i="25" s="1"/>
  <c r="H35" i="25"/>
  <c r="D57" i="21"/>
  <c r="E63" i="21"/>
  <c r="F63" i="21"/>
  <c r="G69" i="21"/>
  <c r="C69" i="21"/>
  <c r="E57" i="21"/>
  <c r="G57" i="21"/>
  <c r="F57" i="21"/>
  <c r="C57" i="21"/>
  <c r="H63" i="21" l="1"/>
  <c r="I63" i="21" s="1"/>
  <c r="J63" i="21" s="1"/>
  <c r="K63" i="21" s="1"/>
  <c r="J35" i="25"/>
  <c r="H57" i="21"/>
  <c r="I57" i="21" s="1"/>
  <c r="H69" i="21"/>
  <c r="K35" i="25" l="1"/>
  <c r="I69" i="21"/>
  <c r="L63" i="21"/>
  <c r="J57" i="21"/>
  <c r="L35" i="25" l="1"/>
  <c r="J69" i="21"/>
  <c r="K69" i="21" s="1"/>
  <c r="K57" i="21"/>
  <c r="D48" i="25" l="1"/>
  <c r="L69" i="21"/>
  <c r="L57" i="21"/>
  <c r="L39" i="22" l="1"/>
  <c r="K39" i="22"/>
  <c r="J39" i="22"/>
  <c r="I39" i="22"/>
  <c r="G38" i="22"/>
  <c r="G42" i="22" s="1"/>
  <c r="H38" i="22" s="1"/>
  <c r="F38" i="22"/>
  <c r="F42" i="22" s="1"/>
  <c r="E38" i="22"/>
  <c r="E42" i="22" s="1"/>
  <c r="D38" i="22"/>
  <c r="D42" i="22" s="1"/>
  <c r="C38" i="22"/>
  <c r="C42" i="22" s="1"/>
  <c r="C12" i="22" l="1"/>
  <c r="G44" i="23"/>
  <c r="H31" i="3" l="1"/>
  <c r="E26" i="30" s="1"/>
  <c r="C28" i="19"/>
  <c r="H72" i="19" s="1"/>
  <c r="I72" i="19" s="1"/>
  <c r="J72" i="19" s="1"/>
  <c r="K72" i="19" s="1"/>
  <c r="L72" i="19" s="1"/>
  <c r="C25" i="19"/>
  <c r="C23" i="19"/>
  <c r="C21" i="19"/>
  <c r="C19" i="19"/>
  <c r="C17" i="19"/>
  <c r="I31" i="3" l="1"/>
  <c r="J31" i="3" s="1"/>
  <c r="K31" i="3" s="1"/>
  <c r="L31" i="3" s="1"/>
  <c r="L49" i="3"/>
  <c r="K49" i="3"/>
  <c r="J49" i="3"/>
  <c r="I49" i="3"/>
  <c r="H49" i="3"/>
  <c r="L30" i="3"/>
  <c r="K30" i="3"/>
  <c r="J30" i="3"/>
  <c r="I30" i="3"/>
  <c r="H30" i="3"/>
  <c r="E25" i="30" s="1"/>
  <c r="L20" i="3"/>
  <c r="K20" i="3"/>
  <c r="J20" i="3"/>
  <c r="I20" i="3"/>
  <c r="H20" i="3"/>
  <c r="E19" i="30" s="1"/>
  <c r="T36" i="9" l="1"/>
  <c r="G47" i="22"/>
  <c r="G45" i="22" s="1"/>
  <c r="I16" i="24" s="1"/>
  <c r="F47" i="22"/>
  <c r="F45" i="22" s="1"/>
  <c r="E47" i="22"/>
  <c r="E45" i="22" s="1"/>
  <c r="D47" i="22"/>
  <c r="D45" i="22" s="1"/>
  <c r="C47" i="22"/>
  <c r="C45" i="22" s="1"/>
  <c r="H46" i="22"/>
  <c r="L46" i="22" s="1"/>
  <c r="L52" i="23" l="1"/>
  <c r="I46" i="22"/>
  <c r="J46" i="22"/>
  <c r="K46" i="22"/>
  <c r="F53" i="23" l="1"/>
  <c r="E53" i="23"/>
  <c r="D53" i="23"/>
  <c r="C53" i="23"/>
  <c r="D11" i="22"/>
  <c r="E11" i="22" s="1"/>
  <c r="F11" i="22" s="1"/>
  <c r="G11" i="22" s="1"/>
  <c r="H11" i="22" s="1"/>
  <c r="I11" i="22" s="1"/>
  <c r="J11" i="22" s="1"/>
  <c r="K11" i="22" s="1"/>
  <c r="L11" i="22" s="1"/>
  <c r="G20" i="23"/>
  <c r="I20" i="23" s="1"/>
  <c r="I52" i="3" s="1"/>
  <c r="F20" i="23"/>
  <c r="E20" i="23"/>
  <c r="D20" i="23"/>
  <c r="G18" i="23"/>
  <c r="G28" i="23" s="1"/>
  <c r="F18" i="23"/>
  <c r="F28" i="23" s="1"/>
  <c r="E18" i="23"/>
  <c r="E28" i="23" s="1"/>
  <c r="D18" i="23"/>
  <c r="D28" i="23" s="1"/>
  <c r="G17" i="23"/>
  <c r="F17" i="23"/>
  <c r="E17" i="23"/>
  <c r="D17" i="23"/>
  <c r="G16" i="23"/>
  <c r="F16" i="23"/>
  <c r="E16" i="23"/>
  <c r="D16" i="23"/>
  <c r="G15" i="23"/>
  <c r="F15" i="23"/>
  <c r="E15" i="23"/>
  <c r="D15" i="23"/>
  <c r="G14" i="23"/>
  <c r="F14" i="23"/>
  <c r="E14" i="23"/>
  <c r="D14" i="23"/>
  <c r="G13" i="23"/>
  <c r="F13" i="23"/>
  <c r="E13" i="23"/>
  <c r="D13" i="23"/>
  <c r="C20" i="23"/>
  <c r="C18" i="23"/>
  <c r="C28" i="23" s="1"/>
  <c r="C17" i="23"/>
  <c r="C16" i="23"/>
  <c r="C15" i="23"/>
  <c r="C14" i="23"/>
  <c r="C13" i="23"/>
  <c r="G45" i="23"/>
  <c r="F45" i="23"/>
  <c r="E45" i="23"/>
  <c r="D45" i="23"/>
  <c r="C45" i="23"/>
  <c r="G38" i="23"/>
  <c r="G25" i="23" s="1"/>
  <c r="F38" i="23"/>
  <c r="F25" i="23" s="1"/>
  <c r="E38" i="23"/>
  <c r="E25" i="23" s="1"/>
  <c r="D38" i="23"/>
  <c r="D25" i="23" s="1"/>
  <c r="C38" i="23"/>
  <c r="C25" i="23" s="1"/>
  <c r="G35" i="23"/>
  <c r="F35" i="23"/>
  <c r="E35" i="23"/>
  <c r="E33" i="23" s="1"/>
  <c r="D35" i="23"/>
  <c r="C35" i="23"/>
  <c r="H44" i="23" l="1"/>
  <c r="I44" i="23" s="1"/>
  <c r="J44" i="23" s="1"/>
  <c r="C33" i="23"/>
  <c r="D33" i="23"/>
  <c r="H34" i="23"/>
  <c r="I34" i="23" s="1"/>
  <c r="J34" i="23" s="1"/>
  <c r="F33" i="23"/>
  <c r="K16" i="23"/>
  <c r="K48" i="3" s="1"/>
  <c r="H16" i="23"/>
  <c r="H48" i="3" s="1"/>
  <c r="L16" i="23"/>
  <c r="L48" i="3" s="1"/>
  <c r="J16" i="23"/>
  <c r="J48" i="3" s="1"/>
  <c r="I16" i="23"/>
  <c r="I48" i="3" s="1"/>
  <c r="G33" i="23"/>
  <c r="H48" i="23"/>
  <c r="J20" i="23"/>
  <c r="J52" i="3" s="1"/>
  <c r="K20" i="23"/>
  <c r="K52" i="3" s="1"/>
  <c r="L20" i="23"/>
  <c r="L52" i="3" s="1"/>
  <c r="H20" i="23"/>
  <c r="H52" i="3" s="1"/>
  <c r="C19" i="23"/>
  <c r="C21" i="23" s="1"/>
  <c r="E19" i="23"/>
  <c r="E21" i="23" s="1"/>
  <c r="F19" i="23"/>
  <c r="F21" i="23" s="1"/>
  <c r="D19" i="23"/>
  <c r="D21" i="23" s="1"/>
  <c r="D43" i="23"/>
  <c r="G19" i="23"/>
  <c r="G21" i="23" s="1"/>
  <c r="L13" i="23"/>
  <c r="L45" i="3" s="1"/>
  <c r="H13" i="23"/>
  <c r="H45" i="3" s="1"/>
  <c r="I13" i="23"/>
  <c r="I45" i="3" s="1"/>
  <c r="J13" i="23"/>
  <c r="J45" i="3" s="1"/>
  <c r="K13" i="23"/>
  <c r="K45" i="3" s="1"/>
  <c r="E43" i="23"/>
  <c r="F43" i="23"/>
  <c r="G43" i="23"/>
  <c r="C43" i="23"/>
  <c r="H49" i="23" l="1"/>
  <c r="K44" i="23"/>
  <c r="L44" i="23" s="1"/>
  <c r="K34" i="23"/>
  <c r="L34" i="23" s="1"/>
  <c r="D75" i="25"/>
  <c r="D66" i="25"/>
  <c r="H43" i="23"/>
  <c r="H45" i="23" s="1"/>
  <c r="I50" i="23"/>
  <c r="H50" i="23"/>
  <c r="H51" i="23" s="1"/>
  <c r="I49" i="23"/>
  <c r="H46" i="4" l="1"/>
  <c r="H17" i="22" s="1"/>
  <c r="H14" i="23"/>
  <c r="H46" i="3" s="1"/>
  <c r="I43" i="23"/>
  <c r="I48" i="23"/>
  <c r="I51" i="23" s="1"/>
  <c r="H53" i="23"/>
  <c r="K50" i="23"/>
  <c r="J50" i="23"/>
  <c r="J49" i="23"/>
  <c r="J43" i="23" l="1"/>
  <c r="J45" i="23" s="1"/>
  <c r="J48" i="23"/>
  <c r="J51" i="23" s="1"/>
  <c r="I53" i="23"/>
  <c r="L50" i="23"/>
  <c r="I45" i="23"/>
  <c r="I46" i="4" l="1"/>
  <c r="I17" i="22" s="1"/>
  <c r="J46" i="4"/>
  <c r="J17" i="22" s="1"/>
  <c r="K43" i="23"/>
  <c r="K45" i="23" s="1"/>
  <c r="K48" i="23"/>
  <c r="J53" i="23"/>
  <c r="L49" i="23"/>
  <c r="K49" i="23"/>
  <c r="I14" i="23"/>
  <c r="I46" i="3" s="1"/>
  <c r="G31" i="23"/>
  <c r="G32" i="23" s="1"/>
  <c r="F31" i="23"/>
  <c r="F32" i="23" s="1"/>
  <c r="E31" i="23"/>
  <c r="E32" i="23" s="1"/>
  <c r="D31" i="23"/>
  <c r="D32" i="23" s="1"/>
  <c r="D10" i="23"/>
  <c r="E10" i="23" s="1"/>
  <c r="F10" i="23" s="1"/>
  <c r="G10" i="23" s="1"/>
  <c r="H10" i="23" s="1"/>
  <c r="I10" i="23" s="1"/>
  <c r="J10" i="23" s="1"/>
  <c r="K10" i="23" s="1"/>
  <c r="L10" i="23" s="1"/>
  <c r="H32" i="23" l="1"/>
  <c r="I32" i="23" s="1"/>
  <c r="K46" i="4"/>
  <c r="K17" i="22" s="1"/>
  <c r="L43" i="23"/>
  <c r="L45" i="23" s="1"/>
  <c r="K51" i="23"/>
  <c r="K53" i="23" s="1"/>
  <c r="J14" i="23"/>
  <c r="J46" i="3" s="1"/>
  <c r="P10" i="12"/>
  <c r="Q10" i="12" s="1"/>
  <c r="R10" i="12" s="1"/>
  <c r="S10" i="12" s="1"/>
  <c r="U10" i="12" s="1"/>
  <c r="V10" i="12" s="1"/>
  <c r="W10" i="12" s="1"/>
  <c r="X10" i="12" s="1"/>
  <c r="Y10" i="12" s="1"/>
  <c r="J32" i="23" l="1"/>
  <c r="L46" i="4"/>
  <c r="L17" i="22" s="1"/>
  <c r="L48" i="23"/>
  <c r="L51" i="23" s="1"/>
  <c r="L53" i="23" s="1"/>
  <c r="K14" i="23"/>
  <c r="K46" i="3" s="1"/>
  <c r="G24" i="11"/>
  <c r="F24" i="11"/>
  <c r="E24" i="11"/>
  <c r="D24" i="11"/>
  <c r="C24" i="11"/>
  <c r="K32" i="23" l="1"/>
  <c r="L32" i="23" s="1"/>
  <c r="L14" i="23"/>
  <c r="L46" i="3" s="1"/>
  <c r="L41" i="9"/>
  <c r="K41" i="9"/>
  <c r="J41" i="9"/>
  <c r="I41" i="9"/>
  <c r="H41" i="9"/>
  <c r="C24" i="9"/>
  <c r="D24" i="9"/>
  <c r="E24" i="9"/>
  <c r="F24" i="9"/>
  <c r="G24" i="9"/>
  <c r="G23" i="9"/>
  <c r="F23" i="9"/>
  <c r="E23" i="9"/>
  <c r="D23" i="9"/>
  <c r="C23" i="9"/>
  <c r="C76" i="21" l="1"/>
  <c r="D76" i="21"/>
  <c r="E76" i="21"/>
  <c r="F76" i="21"/>
  <c r="G76" i="21"/>
  <c r="G12" i="22" l="1"/>
  <c r="F54" i="4"/>
  <c r="F12" i="22" s="1"/>
  <c r="E54" i="4"/>
  <c r="E12" i="22" s="1"/>
  <c r="D54" i="4"/>
  <c r="D12" i="22" s="1"/>
  <c r="G72" i="21" l="1"/>
  <c r="F72" i="21"/>
  <c r="E72" i="21"/>
  <c r="D72" i="21"/>
  <c r="C72" i="21"/>
  <c r="C28" i="25"/>
  <c r="L44" i="21"/>
  <c r="K44" i="21"/>
  <c r="J44" i="21"/>
  <c r="I44" i="21"/>
  <c r="L43" i="21"/>
  <c r="K43" i="21"/>
  <c r="J43" i="21"/>
  <c r="I43" i="21"/>
  <c r="L42" i="21"/>
  <c r="K42" i="21"/>
  <c r="J42" i="21"/>
  <c r="I42" i="21"/>
  <c r="H44" i="21"/>
  <c r="H43" i="21"/>
  <c r="H42" i="21"/>
  <c r="C49" i="21"/>
  <c r="C29" i="25" l="1"/>
  <c r="H45" i="21"/>
  <c r="J45" i="21"/>
  <c r="K45" i="21"/>
  <c r="L45" i="21"/>
  <c r="I45" i="21"/>
  <c r="G49" i="21" l="1"/>
  <c r="H49" i="21" s="1"/>
  <c r="I49" i="21" s="1"/>
  <c r="J49" i="21" s="1"/>
  <c r="K49" i="21" s="1"/>
  <c r="L49" i="21" s="1"/>
  <c r="F49" i="21"/>
  <c r="E49" i="21"/>
  <c r="D49" i="21"/>
  <c r="G45" i="21"/>
  <c r="G47" i="21" s="1"/>
  <c r="F45" i="21"/>
  <c r="F47" i="21" s="1"/>
  <c r="E45" i="21"/>
  <c r="E47" i="21" s="1"/>
  <c r="D45" i="21"/>
  <c r="D47" i="21" s="1"/>
  <c r="C45" i="21"/>
  <c r="C47" i="21" s="1"/>
  <c r="C39" i="21"/>
  <c r="G39" i="21"/>
  <c r="F39" i="21"/>
  <c r="E39" i="21"/>
  <c r="D39" i="21"/>
  <c r="G35" i="21"/>
  <c r="F35" i="21"/>
  <c r="E35" i="21"/>
  <c r="D35" i="21"/>
  <c r="C35" i="21"/>
  <c r="G31" i="21"/>
  <c r="G33" i="21" s="1"/>
  <c r="F31" i="21"/>
  <c r="F33" i="21" s="1"/>
  <c r="E31" i="21"/>
  <c r="E33" i="21" s="1"/>
  <c r="D31" i="21"/>
  <c r="D33" i="21" s="1"/>
  <c r="C31" i="21"/>
  <c r="C33" i="21" s="1"/>
  <c r="G20" i="21"/>
  <c r="F20" i="21"/>
  <c r="E20" i="21"/>
  <c r="D20" i="21"/>
  <c r="G18" i="21"/>
  <c r="F18" i="21"/>
  <c r="E18" i="21"/>
  <c r="D18" i="21"/>
  <c r="G16" i="21"/>
  <c r="F16" i="21"/>
  <c r="E16" i="21"/>
  <c r="D16" i="21"/>
  <c r="G14" i="21"/>
  <c r="F14" i="21"/>
  <c r="E14" i="21"/>
  <c r="D14" i="21"/>
  <c r="G12" i="21"/>
  <c r="F12" i="21"/>
  <c r="E12" i="21"/>
  <c r="D12" i="21"/>
  <c r="C20" i="21"/>
  <c r="C18" i="21"/>
  <c r="C16" i="21"/>
  <c r="C14" i="21"/>
  <c r="C12" i="21"/>
  <c r="D10" i="21"/>
  <c r="E10" i="21" s="1"/>
  <c r="F10" i="21" s="1"/>
  <c r="G10" i="21" s="1"/>
  <c r="H10" i="21" s="1"/>
  <c r="I10" i="21" s="1"/>
  <c r="J10" i="21" s="1"/>
  <c r="K10" i="21" s="1"/>
  <c r="L10" i="21" s="1"/>
  <c r="G43" i="19"/>
  <c r="F43" i="19"/>
  <c r="E43" i="19"/>
  <c r="D43" i="19"/>
  <c r="C43" i="19"/>
  <c r="G45" i="19"/>
  <c r="F45" i="19"/>
  <c r="E45" i="19"/>
  <c r="D45" i="19"/>
  <c r="C45" i="19"/>
  <c r="G41" i="19"/>
  <c r="F41" i="19"/>
  <c r="E41" i="19"/>
  <c r="D41" i="19"/>
  <c r="C41" i="19"/>
  <c r="G39" i="19"/>
  <c r="F39" i="19"/>
  <c r="E39" i="19"/>
  <c r="D39" i="19"/>
  <c r="G37" i="19"/>
  <c r="F37" i="19"/>
  <c r="E37" i="19"/>
  <c r="D37" i="19"/>
  <c r="C39" i="19"/>
  <c r="C37" i="19"/>
  <c r="G33" i="19"/>
  <c r="G24" i="21" s="1"/>
  <c r="F33" i="19"/>
  <c r="F24" i="21" s="1"/>
  <c r="E33" i="19"/>
  <c r="E24" i="21" s="1"/>
  <c r="D33" i="19"/>
  <c r="D24" i="21" s="1"/>
  <c r="C33" i="19"/>
  <c r="C24" i="21" s="1"/>
  <c r="D15" i="21" l="1"/>
  <c r="D19" i="21"/>
  <c r="E15" i="21"/>
  <c r="E19" i="21"/>
  <c r="C19" i="21"/>
  <c r="F15" i="21"/>
  <c r="F19" i="21"/>
  <c r="C21" i="21"/>
  <c r="G15" i="21"/>
  <c r="G19" i="21"/>
  <c r="D21" i="21"/>
  <c r="E21" i="21"/>
  <c r="F21" i="21"/>
  <c r="C15" i="21"/>
  <c r="H15" i="21" s="1"/>
  <c r="I15" i="21" s="1"/>
  <c r="J15" i="21" s="1"/>
  <c r="G21" i="21"/>
  <c r="H46" i="21"/>
  <c r="H21" i="21" l="1"/>
  <c r="I21" i="21" s="1"/>
  <c r="H19" i="21"/>
  <c r="I19" i="21" s="1"/>
  <c r="J19" i="21" s="1"/>
  <c r="K19" i="21" s="1"/>
  <c r="K15" i="21"/>
  <c r="L15" i="21" s="1"/>
  <c r="I46" i="21"/>
  <c r="H47" i="21"/>
  <c r="H21" i="3" s="1"/>
  <c r="E20" i="30" s="1"/>
  <c r="J21" i="21" l="1"/>
  <c r="L19" i="21"/>
  <c r="J46" i="21"/>
  <c r="I47" i="21"/>
  <c r="I21" i="3" s="1"/>
  <c r="K21" i="21" l="1"/>
  <c r="L21" i="21" s="1"/>
  <c r="K46" i="21"/>
  <c r="J47" i="21"/>
  <c r="J21" i="3" s="1"/>
  <c r="L46" i="21" l="1"/>
  <c r="L47" i="21" s="1"/>
  <c r="L21" i="3" s="1"/>
  <c r="K47" i="21"/>
  <c r="K21" i="3" s="1"/>
  <c r="G28" i="19" l="1"/>
  <c r="F28" i="19"/>
  <c r="E28" i="19"/>
  <c r="D28" i="19"/>
  <c r="G25" i="19"/>
  <c r="F25" i="19"/>
  <c r="E25" i="19"/>
  <c r="D25" i="19"/>
  <c r="G23" i="19"/>
  <c r="F23" i="19"/>
  <c r="E23" i="19"/>
  <c r="D23" i="19"/>
  <c r="G21" i="19"/>
  <c r="F21" i="19"/>
  <c r="E21" i="19"/>
  <c r="D21" i="19"/>
  <c r="G19" i="19"/>
  <c r="F19" i="19"/>
  <c r="E19" i="19"/>
  <c r="D19" i="19"/>
  <c r="G26" i="19"/>
  <c r="G29" i="19" s="1"/>
  <c r="F26" i="19"/>
  <c r="F29" i="19" s="1"/>
  <c r="E26" i="19"/>
  <c r="E29" i="19" s="1"/>
  <c r="D26" i="19"/>
  <c r="D29" i="19" s="1"/>
  <c r="C26" i="19"/>
  <c r="C29" i="19" s="1"/>
  <c r="C11" i="6" s="1"/>
  <c r="C13" i="6" s="1"/>
  <c r="C17" i="6" s="1"/>
  <c r="C20" i="6" s="1"/>
  <c r="C22" i="6" s="1"/>
  <c r="G17" i="19"/>
  <c r="H57" i="19" s="1"/>
  <c r="I57" i="19" s="1"/>
  <c r="J57" i="19" s="1"/>
  <c r="K57" i="19" s="1"/>
  <c r="L57" i="19" s="1"/>
  <c r="F17" i="19"/>
  <c r="E17" i="19"/>
  <c r="D17" i="19"/>
  <c r="D13" i="19"/>
  <c r="E13" i="19" s="1"/>
  <c r="F13" i="19" s="1"/>
  <c r="G13" i="19" s="1"/>
  <c r="H13" i="19" s="1"/>
  <c r="I13" i="19" s="1"/>
  <c r="J13" i="19" s="1"/>
  <c r="K13" i="19" s="1"/>
  <c r="L13" i="19" s="1"/>
  <c r="C24" i="6" l="1"/>
  <c r="C12" i="4"/>
  <c r="C29" i="4" s="1"/>
  <c r="C53" i="4" s="1"/>
  <c r="C55" i="4" s="1"/>
  <c r="H60" i="19"/>
  <c r="H66" i="19"/>
  <c r="H56" i="19"/>
  <c r="H63" i="19"/>
  <c r="I63" i="19" s="1"/>
  <c r="J63" i="19" s="1"/>
  <c r="K63" i="19" s="1"/>
  <c r="L63" i="19" s="1"/>
  <c r="H69" i="19"/>
  <c r="F23" i="21"/>
  <c r="F11" i="6"/>
  <c r="G23" i="21"/>
  <c r="G11" i="6"/>
  <c r="D23" i="21"/>
  <c r="D11" i="6"/>
  <c r="E23" i="21"/>
  <c r="E11" i="6"/>
  <c r="C30" i="19"/>
  <c r="C23" i="21"/>
  <c r="D42" i="19"/>
  <c r="D35" i="19"/>
  <c r="D36" i="19" s="1"/>
  <c r="D34" i="19"/>
  <c r="D38" i="19"/>
  <c r="D40" i="19"/>
  <c r="E35" i="19"/>
  <c r="E36" i="19" s="1"/>
  <c r="E34" i="19"/>
  <c r="E42" i="19"/>
  <c r="E40" i="19"/>
  <c r="E38" i="19"/>
  <c r="G38" i="19"/>
  <c r="G35" i="19"/>
  <c r="G36" i="19" s="1"/>
  <c r="G34" i="19"/>
  <c r="G40" i="19"/>
  <c r="G42" i="19"/>
  <c r="F34" i="19"/>
  <c r="F35" i="19"/>
  <c r="F36" i="19" s="1"/>
  <c r="F42" i="19"/>
  <c r="F40" i="19"/>
  <c r="F38" i="19"/>
  <c r="C35" i="19"/>
  <c r="C36" i="19" s="1"/>
  <c r="C42" i="19"/>
  <c r="C38" i="19"/>
  <c r="C34" i="19"/>
  <c r="C40" i="19"/>
  <c r="G30" i="19"/>
  <c r="D30" i="19"/>
  <c r="E30" i="19"/>
  <c r="F30" i="19"/>
  <c r="F43" i="13"/>
  <c r="F46" i="13"/>
  <c r="F45" i="13"/>
  <c r="F44" i="13"/>
  <c r="H78" i="19" l="1"/>
  <c r="H77" i="19" s="1"/>
  <c r="H38" i="19" s="1"/>
  <c r="H75" i="19"/>
  <c r="H74" i="19" s="1"/>
  <c r="H34" i="19" s="1"/>
  <c r="H59" i="19"/>
  <c r="I60" i="19"/>
  <c r="J60" i="19" s="1"/>
  <c r="K60" i="19" s="1"/>
  <c r="L60" i="19" s="1"/>
  <c r="E13" i="21"/>
  <c r="E17" i="21"/>
  <c r="D13" i="21"/>
  <c r="D17" i="21"/>
  <c r="C13" i="21"/>
  <c r="C17" i="21"/>
  <c r="G13" i="21"/>
  <c r="G17" i="21"/>
  <c r="H40" i="19"/>
  <c r="H42" i="19"/>
  <c r="F13" i="21"/>
  <c r="F17" i="21"/>
  <c r="H19" i="19"/>
  <c r="H68" i="19"/>
  <c r="H25" i="19" s="1"/>
  <c r="H65" i="19"/>
  <c r="H23" i="19" s="1"/>
  <c r="H62" i="19"/>
  <c r="H21" i="19" s="1"/>
  <c r="H71" i="19"/>
  <c r="H28" i="19" s="1"/>
  <c r="H17" i="19"/>
  <c r="G93" i="12"/>
  <c r="F93" i="12"/>
  <c r="E93" i="12"/>
  <c r="D93" i="12"/>
  <c r="C93" i="12"/>
  <c r="G92" i="12"/>
  <c r="F92" i="12"/>
  <c r="E92" i="12"/>
  <c r="D92" i="12"/>
  <c r="C92" i="12"/>
  <c r="G89" i="12"/>
  <c r="F89" i="12"/>
  <c r="E89" i="12"/>
  <c r="D89" i="12"/>
  <c r="C89" i="12"/>
  <c r="G88" i="12"/>
  <c r="F88" i="12"/>
  <c r="E88" i="12"/>
  <c r="D88" i="12"/>
  <c r="C88" i="12"/>
  <c r="G87" i="12"/>
  <c r="F87" i="12"/>
  <c r="E87" i="12"/>
  <c r="D87" i="12"/>
  <c r="C87" i="12"/>
  <c r="G86" i="12"/>
  <c r="F86" i="12"/>
  <c r="E86" i="12"/>
  <c r="D86" i="12"/>
  <c r="C86" i="12"/>
  <c r="G85" i="12"/>
  <c r="F85" i="12"/>
  <c r="E85" i="12"/>
  <c r="D85" i="12"/>
  <c r="C85" i="12"/>
  <c r="G31" i="12"/>
  <c r="F31" i="12"/>
  <c r="E31" i="12"/>
  <c r="D31" i="12"/>
  <c r="G28" i="12"/>
  <c r="F28" i="12"/>
  <c r="E28" i="12"/>
  <c r="D28" i="12"/>
  <c r="G27" i="12"/>
  <c r="F27" i="12"/>
  <c r="E27" i="12"/>
  <c r="D27" i="12"/>
  <c r="G26" i="12"/>
  <c r="F26" i="12"/>
  <c r="E26" i="12"/>
  <c r="D26" i="12"/>
  <c r="G25" i="12"/>
  <c r="F25" i="12"/>
  <c r="E25" i="12"/>
  <c r="D25" i="12"/>
  <c r="G24" i="12"/>
  <c r="F24" i="12"/>
  <c r="E24" i="12"/>
  <c r="D24" i="12"/>
  <c r="G77" i="12"/>
  <c r="G81" i="12" s="1"/>
  <c r="F77" i="12"/>
  <c r="E77" i="12"/>
  <c r="D77" i="12"/>
  <c r="D81" i="12" s="1"/>
  <c r="C77" i="12"/>
  <c r="F18" i="12"/>
  <c r="E18" i="12"/>
  <c r="D18" i="12"/>
  <c r="D10" i="12"/>
  <c r="E10" i="12" s="1"/>
  <c r="F10" i="12" s="1"/>
  <c r="G10" i="12" s="1"/>
  <c r="H10" i="12" s="1"/>
  <c r="I10" i="12" s="1"/>
  <c r="J10" i="12" s="1"/>
  <c r="K10" i="12" s="1"/>
  <c r="L10" i="12" s="1"/>
  <c r="G43" i="9"/>
  <c r="G49" i="4"/>
  <c r="F49" i="4"/>
  <c r="E49" i="4"/>
  <c r="D49" i="4"/>
  <c r="G38" i="4"/>
  <c r="F38" i="4"/>
  <c r="E38" i="4"/>
  <c r="D38" i="4"/>
  <c r="D10" i="4"/>
  <c r="E10" i="4" s="1"/>
  <c r="F10" i="4" s="1"/>
  <c r="G10" i="4" s="1"/>
  <c r="H10" i="4" s="1"/>
  <c r="I10" i="4" s="1"/>
  <c r="J10" i="4" s="1"/>
  <c r="K10" i="4" s="1"/>
  <c r="L10" i="4" s="1"/>
  <c r="G51" i="3"/>
  <c r="F51" i="3"/>
  <c r="F53" i="3" s="1"/>
  <c r="E51" i="3"/>
  <c r="E53" i="3" s="1"/>
  <c r="D51" i="3"/>
  <c r="D53" i="3" s="1"/>
  <c r="G40" i="3"/>
  <c r="G31" i="9" s="1"/>
  <c r="F40" i="3"/>
  <c r="F31" i="9" s="1"/>
  <c r="E40" i="3"/>
  <c r="D40" i="3"/>
  <c r="D31" i="9" s="1"/>
  <c r="C31" i="9"/>
  <c r="G35" i="3"/>
  <c r="G30" i="9" s="1"/>
  <c r="F35" i="3"/>
  <c r="F30" i="9" s="1"/>
  <c r="E35" i="3"/>
  <c r="E31" i="11" s="1"/>
  <c r="D35" i="3"/>
  <c r="D31" i="11" s="1"/>
  <c r="C31" i="11"/>
  <c r="G24" i="3"/>
  <c r="G28" i="9" s="1"/>
  <c r="F24" i="3"/>
  <c r="F28" i="9" s="1"/>
  <c r="E24" i="3"/>
  <c r="D24" i="3"/>
  <c r="C28" i="9"/>
  <c r="G17" i="3"/>
  <c r="G27" i="9" s="1"/>
  <c r="F17" i="3"/>
  <c r="F27" i="9" s="1"/>
  <c r="E17" i="3"/>
  <c r="D17" i="3"/>
  <c r="C27" i="9"/>
  <c r="D10" i="3"/>
  <c r="E10" i="3" s="1"/>
  <c r="F10" i="3" s="1"/>
  <c r="G10" i="3" s="1"/>
  <c r="H10" i="3" s="1"/>
  <c r="I10" i="3" s="1"/>
  <c r="J10" i="3" s="1"/>
  <c r="K10" i="3" s="1"/>
  <c r="L10" i="3" s="1"/>
  <c r="D10" i="6"/>
  <c r="E10" i="6" s="1"/>
  <c r="F10" i="6" s="1"/>
  <c r="G10" i="6" s="1"/>
  <c r="H10" i="6" s="1"/>
  <c r="I10" i="6" s="1"/>
  <c r="J10" i="6" s="1"/>
  <c r="K10" i="6" s="1"/>
  <c r="L10" i="6" s="1"/>
  <c r="D10" i="11"/>
  <c r="E10" i="11" s="1"/>
  <c r="F10" i="11" s="1"/>
  <c r="G10" i="11" s="1"/>
  <c r="H10" i="11" s="1"/>
  <c r="I10" i="11" s="1"/>
  <c r="J10" i="11" s="1"/>
  <c r="K10" i="11" s="1"/>
  <c r="L10" i="11" s="1"/>
  <c r="G48" i="9"/>
  <c r="F48" i="9"/>
  <c r="E48" i="9"/>
  <c r="D48" i="9"/>
  <c r="C48" i="9"/>
  <c r="G47" i="9"/>
  <c r="F47" i="9"/>
  <c r="E47" i="9"/>
  <c r="D47" i="9"/>
  <c r="C47" i="9"/>
  <c r="C43" i="9"/>
  <c r="G41" i="9"/>
  <c r="F41" i="9"/>
  <c r="E41" i="9"/>
  <c r="D41" i="9"/>
  <c r="C41" i="9"/>
  <c r="F32" i="9"/>
  <c r="D10" i="9"/>
  <c r="E10" i="9" s="1"/>
  <c r="F10" i="9" s="1"/>
  <c r="G10" i="9" s="1"/>
  <c r="H10" i="9" s="1"/>
  <c r="I10" i="9" s="1"/>
  <c r="J10" i="9" s="1"/>
  <c r="K10" i="9" s="1"/>
  <c r="L10" i="9" s="1"/>
  <c r="I78" i="19" l="1"/>
  <c r="I77" i="19" s="1"/>
  <c r="I38" i="19" s="1"/>
  <c r="I75" i="19"/>
  <c r="I74" i="19" s="1"/>
  <c r="I34" i="19" s="1"/>
  <c r="G53" i="3"/>
  <c r="C29" i="24" s="1"/>
  <c r="I18" i="24" s="1"/>
  <c r="I19" i="24" s="1"/>
  <c r="H17" i="21"/>
  <c r="I17" i="21" s="1"/>
  <c r="J17" i="21" s="1"/>
  <c r="H13" i="21"/>
  <c r="I13" i="21" s="1"/>
  <c r="I40" i="19"/>
  <c r="I42" i="19"/>
  <c r="J42" i="19" s="1"/>
  <c r="F40" i="9"/>
  <c r="G40" i="9"/>
  <c r="D40" i="9"/>
  <c r="I69" i="19"/>
  <c r="I66" i="19"/>
  <c r="H20" i="19"/>
  <c r="H15" i="12" s="1"/>
  <c r="H26" i="12" s="1"/>
  <c r="H16" i="19"/>
  <c r="H13" i="12" s="1"/>
  <c r="H24" i="12" s="1"/>
  <c r="G39" i="9"/>
  <c r="G14" i="22"/>
  <c r="C39" i="9"/>
  <c r="C14" i="22"/>
  <c r="D39" i="9"/>
  <c r="D14" i="22"/>
  <c r="E39" i="9"/>
  <c r="E14" i="22"/>
  <c r="F39" i="9"/>
  <c r="F14" i="22"/>
  <c r="C32" i="9"/>
  <c r="D32" i="9"/>
  <c r="E32" i="9"/>
  <c r="G113" i="12"/>
  <c r="D20" i="12"/>
  <c r="D30" i="11"/>
  <c r="E42" i="3"/>
  <c r="E55" i="3" s="1"/>
  <c r="E30" i="11"/>
  <c r="H18" i="19"/>
  <c r="H14" i="12" s="1"/>
  <c r="C30" i="9"/>
  <c r="D30" i="9"/>
  <c r="E30" i="9"/>
  <c r="E27" i="9"/>
  <c r="D26" i="3"/>
  <c r="D29" i="9" s="1"/>
  <c r="E26" i="3"/>
  <c r="E29" i="9" s="1"/>
  <c r="E29" i="12"/>
  <c r="E20" i="12"/>
  <c r="E113" i="12" s="1"/>
  <c r="E90" i="12"/>
  <c r="F29" i="12"/>
  <c r="C113" i="12"/>
  <c r="F90" i="12"/>
  <c r="F20" i="12"/>
  <c r="F113" i="12" s="1"/>
  <c r="D29" i="12"/>
  <c r="E81" i="12"/>
  <c r="F81" i="12"/>
  <c r="G29" i="12"/>
  <c r="D27" i="11"/>
  <c r="Q19" i="21" s="1"/>
  <c r="C90" i="12"/>
  <c r="G90" i="12"/>
  <c r="C81" i="12"/>
  <c r="D90" i="12"/>
  <c r="E40" i="9"/>
  <c r="C40" i="9"/>
  <c r="F31" i="11"/>
  <c r="G31" i="11"/>
  <c r="E28" i="9"/>
  <c r="D43" i="9"/>
  <c r="C30" i="11"/>
  <c r="F26" i="3"/>
  <c r="F35" i="11" s="1"/>
  <c r="F42" i="3"/>
  <c r="F55" i="3" s="1"/>
  <c r="E31" i="9"/>
  <c r="E43" i="9"/>
  <c r="G30" i="11"/>
  <c r="D42" i="3"/>
  <c r="D55" i="3" s="1"/>
  <c r="D60" i="3" s="1"/>
  <c r="G42" i="3"/>
  <c r="F43" i="9"/>
  <c r="H24" i="19"/>
  <c r="H17" i="12" s="1"/>
  <c r="H22" i="19"/>
  <c r="H16" i="12" s="1"/>
  <c r="H27" i="19"/>
  <c r="H19" i="12" s="1"/>
  <c r="G26" i="3"/>
  <c r="F30" i="11"/>
  <c r="D28" i="9"/>
  <c r="D27" i="9"/>
  <c r="G55" i="3" l="1"/>
  <c r="G33" i="9" s="1"/>
  <c r="G32" i="9"/>
  <c r="J78" i="19"/>
  <c r="J77" i="19" s="1"/>
  <c r="J38" i="19" s="1"/>
  <c r="J75" i="19"/>
  <c r="J74" i="19" s="1"/>
  <c r="J34" i="19" s="1"/>
  <c r="P18" i="12"/>
  <c r="D113" i="12"/>
  <c r="K17" i="21"/>
  <c r="L17" i="21" s="1"/>
  <c r="J40" i="19"/>
  <c r="K40" i="19" s="1"/>
  <c r="L40" i="19" s="1"/>
  <c r="K42" i="19"/>
  <c r="L42" i="19" s="1"/>
  <c r="J13" i="21"/>
  <c r="K13" i="21" s="1"/>
  <c r="L13" i="21" s="1"/>
  <c r="I59" i="19"/>
  <c r="I19" i="19" s="1"/>
  <c r="I56" i="19"/>
  <c r="I17" i="19" s="1"/>
  <c r="C33" i="9"/>
  <c r="E33" i="9"/>
  <c r="E35" i="9" s="1"/>
  <c r="F33" i="9"/>
  <c r="E35" i="11"/>
  <c r="E56" i="11" s="1"/>
  <c r="D33" i="9"/>
  <c r="D35" i="9" s="1"/>
  <c r="E60" i="3"/>
  <c r="S18" i="12"/>
  <c r="G94" i="12"/>
  <c r="E34" i="11"/>
  <c r="C60" i="3"/>
  <c r="D34" i="11"/>
  <c r="D35" i="11"/>
  <c r="D56" i="11" s="1"/>
  <c r="H18" i="12"/>
  <c r="H29" i="12" s="1"/>
  <c r="H28" i="12"/>
  <c r="H25" i="12"/>
  <c r="H27" i="12"/>
  <c r="H31" i="12"/>
  <c r="R19" i="12"/>
  <c r="R14" i="12"/>
  <c r="R17" i="12"/>
  <c r="R16" i="12"/>
  <c r="R13" i="12"/>
  <c r="R15" i="12"/>
  <c r="S14" i="12"/>
  <c r="S17" i="12"/>
  <c r="S13" i="12"/>
  <c r="S15" i="12"/>
  <c r="S19" i="12"/>
  <c r="S16" i="12"/>
  <c r="Q16" i="12"/>
  <c r="Q14" i="12"/>
  <c r="Q19" i="12"/>
  <c r="Q17" i="12"/>
  <c r="Q13" i="12"/>
  <c r="Q15" i="12"/>
  <c r="G23" i="11"/>
  <c r="G26" i="11" s="1"/>
  <c r="R18" i="12"/>
  <c r="C23" i="11"/>
  <c r="C26" i="11" s="1"/>
  <c r="O16" i="12"/>
  <c r="O19" i="12"/>
  <c r="O15" i="12"/>
  <c r="O14" i="12"/>
  <c r="O13" i="12"/>
  <c r="O17" i="12"/>
  <c r="O18" i="12"/>
  <c r="P16" i="12"/>
  <c r="P19" i="12"/>
  <c r="P14" i="12"/>
  <c r="P15" i="12"/>
  <c r="P17" i="12"/>
  <c r="P13" i="12"/>
  <c r="D94" i="12"/>
  <c r="Q18" i="12"/>
  <c r="F29" i="9"/>
  <c r="H26" i="19"/>
  <c r="C34" i="11"/>
  <c r="C35" i="11"/>
  <c r="C46" i="11" s="1"/>
  <c r="C29" i="9"/>
  <c r="D32" i="12"/>
  <c r="E27" i="11"/>
  <c r="R19" i="21" s="1"/>
  <c r="E32" i="12"/>
  <c r="E94" i="12"/>
  <c r="C27" i="11"/>
  <c r="P19" i="21" s="1"/>
  <c r="C94" i="12"/>
  <c r="G32" i="12"/>
  <c r="F27" i="11"/>
  <c r="S19" i="21" s="1"/>
  <c r="F32" i="12"/>
  <c r="F94" i="12"/>
  <c r="G12" i="9"/>
  <c r="G13" i="6"/>
  <c r="G27" i="11"/>
  <c r="T19" i="21" s="1"/>
  <c r="F60" i="3"/>
  <c r="F34" i="11"/>
  <c r="I62" i="19"/>
  <c r="I21" i="19" s="1"/>
  <c r="I71" i="19"/>
  <c r="I28" i="19" s="1"/>
  <c r="I68" i="19"/>
  <c r="I25" i="19" s="1"/>
  <c r="I65" i="19"/>
  <c r="I23" i="19" s="1"/>
  <c r="F46" i="11"/>
  <c r="F56" i="11"/>
  <c r="G34" i="11"/>
  <c r="G29" i="9"/>
  <c r="G35" i="11"/>
  <c r="G21" i="11"/>
  <c r="G60" i="3" l="1"/>
  <c r="K78" i="19"/>
  <c r="K77" i="19" s="1"/>
  <c r="K38" i="19" s="1"/>
  <c r="L78" i="19" s="1"/>
  <c r="K75" i="19"/>
  <c r="K74" i="19" s="1"/>
  <c r="K34" i="19" s="1"/>
  <c r="L75" i="19" s="1"/>
  <c r="H29" i="19"/>
  <c r="H41" i="19" s="1"/>
  <c r="H18" i="6" s="1"/>
  <c r="J59" i="19"/>
  <c r="J19" i="19" s="1"/>
  <c r="I18" i="19"/>
  <c r="I14" i="12" s="1"/>
  <c r="I25" i="12" s="1"/>
  <c r="J71" i="19"/>
  <c r="J69" i="19"/>
  <c r="J68" i="19" s="1"/>
  <c r="J25" i="19" s="1"/>
  <c r="K69" i="19" s="1"/>
  <c r="J62" i="19"/>
  <c r="J66" i="19"/>
  <c r="J65" i="19" s="1"/>
  <c r="J23" i="19" s="1"/>
  <c r="I16" i="19"/>
  <c r="I13" i="12" s="1"/>
  <c r="I24" i="12" s="1"/>
  <c r="F13" i="6"/>
  <c r="F17" i="6" s="1"/>
  <c r="E23" i="11"/>
  <c r="E26" i="11" s="1"/>
  <c r="R13" i="21" s="1"/>
  <c r="C35" i="9"/>
  <c r="E46" i="11"/>
  <c r="F35" i="9"/>
  <c r="G35" i="9"/>
  <c r="F21" i="11"/>
  <c r="F45" i="11" s="1"/>
  <c r="F12" i="9"/>
  <c r="G13" i="9" s="1"/>
  <c r="T14" i="12"/>
  <c r="C21" i="11"/>
  <c r="C55" i="11" s="1"/>
  <c r="C12" i="9"/>
  <c r="C13" i="9" s="1"/>
  <c r="C56" i="11"/>
  <c r="D46" i="11"/>
  <c r="H20" i="12"/>
  <c r="T18" i="12"/>
  <c r="T17" i="12"/>
  <c r="T13" i="12"/>
  <c r="T15" i="12"/>
  <c r="T19" i="12"/>
  <c r="T16" i="12"/>
  <c r="G36" i="21"/>
  <c r="P13" i="21"/>
  <c r="E21" i="11"/>
  <c r="E55" i="11" s="1"/>
  <c r="T13" i="21"/>
  <c r="G73" i="21"/>
  <c r="E12" i="9"/>
  <c r="G37" i="21"/>
  <c r="G77" i="21"/>
  <c r="E13" i="6"/>
  <c r="D23" i="11"/>
  <c r="D26" i="11" s="1"/>
  <c r="D13" i="6"/>
  <c r="D21" i="11"/>
  <c r="D12" i="9"/>
  <c r="F23" i="11"/>
  <c r="F26" i="11" s="1"/>
  <c r="I20" i="19"/>
  <c r="I15" i="12" s="1"/>
  <c r="G17" i="6"/>
  <c r="G14" i="9"/>
  <c r="G15" i="9" s="1"/>
  <c r="G12" i="11" s="1"/>
  <c r="G114" i="12" s="1"/>
  <c r="I24" i="19"/>
  <c r="I17" i="12" s="1"/>
  <c r="I22" i="19"/>
  <c r="I16" i="12" s="1"/>
  <c r="I27" i="19"/>
  <c r="I19" i="12" s="1"/>
  <c r="G46" i="11"/>
  <c r="G56" i="11"/>
  <c r="G45" i="11"/>
  <c r="G55" i="11"/>
  <c r="H33" i="19" l="1"/>
  <c r="H35" i="19" s="1"/>
  <c r="H36" i="19" s="1"/>
  <c r="H37" i="19"/>
  <c r="H14" i="6" s="1"/>
  <c r="H39" i="19"/>
  <c r="H11" i="6"/>
  <c r="H12" i="9" s="1"/>
  <c r="H13" i="9" s="1"/>
  <c r="H30" i="19"/>
  <c r="L77" i="19"/>
  <c r="L38" i="19" s="1"/>
  <c r="L74" i="19"/>
  <c r="L34" i="19" s="1"/>
  <c r="H23" i="21"/>
  <c r="U15" i="12"/>
  <c r="H113" i="12"/>
  <c r="F14" i="9"/>
  <c r="F15" i="9" s="1"/>
  <c r="F12" i="11" s="1"/>
  <c r="F114" i="12" s="1"/>
  <c r="C45" i="11"/>
  <c r="J28" i="19"/>
  <c r="J27" i="19" s="1"/>
  <c r="J19" i="12" s="1"/>
  <c r="K66" i="19"/>
  <c r="K65" i="19" s="1"/>
  <c r="K23" i="19" s="1"/>
  <c r="J18" i="19"/>
  <c r="J14" i="12" s="1"/>
  <c r="J25" i="12" s="1"/>
  <c r="K59" i="19"/>
  <c r="J56" i="19"/>
  <c r="J17" i="19" s="1"/>
  <c r="H12" i="6"/>
  <c r="H24" i="21"/>
  <c r="H20" i="21" s="1"/>
  <c r="H34" i="3" s="1"/>
  <c r="E29" i="30" s="1"/>
  <c r="F13" i="9"/>
  <c r="H15" i="6"/>
  <c r="F55" i="11"/>
  <c r="E45" i="11"/>
  <c r="D13" i="9"/>
  <c r="C17" i="11"/>
  <c r="C52" i="11"/>
  <c r="C38" i="11"/>
  <c r="C14" i="9"/>
  <c r="C15" i="9" s="1"/>
  <c r="C12" i="11" s="1"/>
  <c r="C114" i="12" s="1"/>
  <c r="C16" i="9"/>
  <c r="C17" i="9" s="1"/>
  <c r="C13" i="11" s="1"/>
  <c r="C115" i="12" s="1"/>
  <c r="U17" i="12"/>
  <c r="U16" i="12"/>
  <c r="U14" i="12"/>
  <c r="H32" i="12"/>
  <c r="U13" i="12"/>
  <c r="U18" i="12"/>
  <c r="U19" i="12"/>
  <c r="I26" i="12"/>
  <c r="I18" i="12"/>
  <c r="I31" i="12"/>
  <c r="I27" i="12"/>
  <c r="I28" i="12"/>
  <c r="C37" i="21"/>
  <c r="C77" i="21"/>
  <c r="C73" i="21"/>
  <c r="C36" i="21"/>
  <c r="D37" i="21"/>
  <c r="D73" i="21"/>
  <c r="D77" i="21"/>
  <c r="D36" i="21"/>
  <c r="E13" i="9"/>
  <c r="F73" i="21"/>
  <c r="F77" i="21"/>
  <c r="F36" i="21"/>
  <c r="F37" i="21"/>
  <c r="E36" i="21"/>
  <c r="D45" i="11"/>
  <c r="D55" i="11"/>
  <c r="E73" i="21"/>
  <c r="D14" i="9"/>
  <c r="D15" i="9" s="1"/>
  <c r="D12" i="11" s="1"/>
  <c r="D114" i="12" s="1"/>
  <c r="D17" i="6"/>
  <c r="E37" i="21"/>
  <c r="E77" i="21"/>
  <c r="E14" i="9"/>
  <c r="E15" i="9" s="1"/>
  <c r="E12" i="11" s="1"/>
  <c r="E114" i="12" s="1"/>
  <c r="E17" i="6"/>
  <c r="J21" i="19"/>
  <c r="F20" i="6"/>
  <c r="F16" i="9"/>
  <c r="F17" i="9" s="1"/>
  <c r="F13" i="11" s="1"/>
  <c r="F115" i="12" s="1"/>
  <c r="F17" i="11"/>
  <c r="F52" i="11"/>
  <c r="F38" i="11"/>
  <c r="G17" i="11"/>
  <c r="G38" i="11"/>
  <c r="G16" i="9"/>
  <c r="G17" i="9" s="1"/>
  <c r="G13" i="11" s="1"/>
  <c r="G115" i="12" s="1"/>
  <c r="G52" i="11"/>
  <c r="G20" i="6"/>
  <c r="K68" i="19"/>
  <c r="K25" i="19" s="1"/>
  <c r="L69" i="19" s="1"/>
  <c r="J24" i="19"/>
  <c r="J17" i="12" s="1"/>
  <c r="I26" i="19"/>
  <c r="J22" i="19"/>
  <c r="J16" i="12" s="1"/>
  <c r="I29" i="19" l="1"/>
  <c r="I33" i="19" s="1"/>
  <c r="L66" i="19"/>
  <c r="G44" i="19"/>
  <c r="I17" i="24" s="1"/>
  <c r="I23" i="24" s="1"/>
  <c r="I25" i="24" s="1"/>
  <c r="G20" i="25"/>
  <c r="G22" i="25" s="1"/>
  <c r="G24" i="25" s="1"/>
  <c r="G30" i="25" s="1"/>
  <c r="F44" i="19"/>
  <c r="F20" i="25"/>
  <c r="F22" i="25" s="1"/>
  <c r="F24" i="25" s="1"/>
  <c r="F30" i="25" s="1"/>
  <c r="C44" i="19"/>
  <c r="C20" i="25"/>
  <c r="C22" i="25" s="1"/>
  <c r="C24" i="25" s="1"/>
  <c r="C30" i="25" s="1"/>
  <c r="K62" i="19"/>
  <c r="K21" i="19" s="1"/>
  <c r="H13" i="6"/>
  <c r="H14" i="9" s="1"/>
  <c r="H15" i="9" s="1"/>
  <c r="H12" i="11" s="1"/>
  <c r="H114" i="12" s="1"/>
  <c r="J16" i="19"/>
  <c r="C51" i="11"/>
  <c r="C18" i="9"/>
  <c r="C19" i="9" s="1"/>
  <c r="H77" i="21"/>
  <c r="I77" i="21" s="1"/>
  <c r="H73" i="21"/>
  <c r="H72" i="21" s="1"/>
  <c r="H23" i="3" s="1"/>
  <c r="E22" i="30" s="1"/>
  <c r="J27" i="12"/>
  <c r="H18" i="21"/>
  <c r="H32" i="3" s="1"/>
  <c r="E27" i="30" s="1"/>
  <c r="H14" i="21"/>
  <c r="H15" i="3" s="1"/>
  <c r="E14" i="30" s="1"/>
  <c r="I20" i="12"/>
  <c r="I29" i="12"/>
  <c r="J28" i="12"/>
  <c r="J31" i="12"/>
  <c r="H16" i="21"/>
  <c r="H16" i="3" s="1"/>
  <c r="H37" i="21"/>
  <c r="H33" i="21" s="1"/>
  <c r="H19" i="3" s="1"/>
  <c r="E18" i="30" s="1"/>
  <c r="E16" i="9"/>
  <c r="E17" i="9" s="1"/>
  <c r="E13" i="11" s="1"/>
  <c r="E115" i="12" s="1"/>
  <c r="E38" i="11"/>
  <c r="E17" i="11"/>
  <c r="E20" i="6"/>
  <c r="E20" i="25" s="1"/>
  <c r="E22" i="25" s="1"/>
  <c r="E24" i="25" s="1"/>
  <c r="E30" i="25" s="1"/>
  <c r="E52" i="11"/>
  <c r="D20" i="6"/>
  <c r="D20" i="25" s="1"/>
  <c r="D22" i="25" s="1"/>
  <c r="D24" i="25" s="1"/>
  <c r="D30" i="25" s="1"/>
  <c r="D38" i="11"/>
  <c r="D16" i="9"/>
  <c r="D17" i="9" s="1"/>
  <c r="D13" i="11" s="1"/>
  <c r="D115" i="12" s="1"/>
  <c r="D52" i="11"/>
  <c r="D17" i="11"/>
  <c r="H36" i="21"/>
  <c r="H35" i="21" s="1"/>
  <c r="H32" i="4" s="1"/>
  <c r="H27" i="25" s="1"/>
  <c r="Q13" i="21"/>
  <c r="S13" i="21"/>
  <c r="I37" i="19"/>
  <c r="I14" i="6" s="1"/>
  <c r="K24" i="19"/>
  <c r="K17" i="12" s="1"/>
  <c r="J20" i="19"/>
  <c r="F51" i="11"/>
  <c r="F22" i="6"/>
  <c r="F12" i="4" s="1"/>
  <c r="F29" i="4" s="1"/>
  <c r="F18" i="9"/>
  <c r="F19" i="9" s="1"/>
  <c r="G22" i="6"/>
  <c r="G12" i="4" s="1"/>
  <c r="G29" i="4" s="1"/>
  <c r="G53" i="4" s="1"/>
  <c r="G51" i="11"/>
  <c r="G18" i="9"/>
  <c r="G19" i="9" s="1"/>
  <c r="K22" i="19"/>
  <c r="K16" i="12" s="1"/>
  <c r="L65" i="19"/>
  <c r="L23" i="19" s="1"/>
  <c r="L68" i="19"/>
  <c r="L25" i="19" s="1"/>
  <c r="K19" i="19"/>
  <c r="L59" i="19" s="1"/>
  <c r="I41" i="19" l="1"/>
  <c r="I18" i="6" s="1"/>
  <c r="I11" i="6"/>
  <c r="I39" i="19"/>
  <c r="I15" i="6" s="1"/>
  <c r="I23" i="21"/>
  <c r="I76" i="21" s="1"/>
  <c r="I39" i="3" s="1"/>
  <c r="I30" i="19"/>
  <c r="D56" i="29" s="1"/>
  <c r="C56" i="29" s="1"/>
  <c r="V18" i="12"/>
  <c r="I113" i="12"/>
  <c r="G31" i="25"/>
  <c r="H26" i="4"/>
  <c r="E15" i="30"/>
  <c r="E31" i="25"/>
  <c r="D31" i="25"/>
  <c r="F31" i="25"/>
  <c r="C36" i="25"/>
  <c r="D46" i="25"/>
  <c r="H25" i="4"/>
  <c r="K71" i="19"/>
  <c r="K28" i="19" s="1"/>
  <c r="H17" i="6"/>
  <c r="L62" i="19"/>
  <c r="L21" i="19" s="1"/>
  <c r="K56" i="19"/>
  <c r="K17" i="19" s="1"/>
  <c r="J13" i="12"/>
  <c r="J24" i="12" s="1"/>
  <c r="I12" i="6"/>
  <c r="I24" i="21"/>
  <c r="O39" i="4"/>
  <c r="G13" i="22"/>
  <c r="O49" i="4"/>
  <c r="G55" i="4"/>
  <c r="G39" i="11"/>
  <c r="G38" i="9"/>
  <c r="G40" i="11"/>
  <c r="F13" i="22"/>
  <c r="F22" i="22" s="1"/>
  <c r="F53" i="4"/>
  <c r="F55" i="4" s="1"/>
  <c r="F61" i="4" s="1"/>
  <c r="F38" i="9"/>
  <c r="F42" i="9" s="1"/>
  <c r="F44" i="9" s="1"/>
  <c r="F50" i="9" s="1"/>
  <c r="F39" i="11"/>
  <c r="F40" i="11"/>
  <c r="C46" i="19"/>
  <c r="F39" i="23"/>
  <c r="F40" i="23" s="1"/>
  <c r="F24" i="23"/>
  <c r="F26" i="23" s="1"/>
  <c r="C20" i="9"/>
  <c r="C21" i="9" s="1"/>
  <c r="C14" i="11" s="1"/>
  <c r="C39" i="23"/>
  <c r="C40" i="23" s="1"/>
  <c r="C24" i="23"/>
  <c r="C26" i="23" s="1"/>
  <c r="G39" i="23"/>
  <c r="G40" i="23" s="1"/>
  <c r="G24" i="23"/>
  <c r="G26" i="23" s="1"/>
  <c r="I73" i="21"/>
  <c r="J73" i="21" s="1"/>
  <c r="K73" i="21" s="1"/>
  <c r="H76" i="21"/>
  <c r="H39" i="3" s="1"/>
  <c r="J77" i="21"/>
  <c r="K77" i="21" s="1"/>
  <c r="K28" i="12"/>
  <c r="I12" i="9"/>
  <c r="I13" i="9" s="1"/>
  <c r="H24" i="11"/>
  <c r="H27" i="11" s="1"/>
  <c r="U19" i="21" s="1"/>
  <c r="J26" i="19"/>
  <c r="J15" i="12"/>
  <c r="K27" i="12"/>
  <c r="V14" i="12"/>
  <c r="V13" i="12"/>
  <c r="I32" i="12"/>
  <c r="V15" i="12"/>
  <c r="V16" i="12"/>
  <c r="V17" i="12"/>
  <c r="V19" i="12"/>
  <c r="I37" i="21"/>
  <c r="I36" i="21"/>
  <c r="E22" i="6"/>
  <c r="E12" i="4" s="1"/>
  <c r="E29" i="4" s="1"/>
  <c r="E18" i="9"/>
  <c r="E19" i="9" s="1"/>
  <c r="E44" i="19"/>
  <c r="E51" i="11"/>
  <c r="D51" i="11"/>
  <c r="D18" i="9"/>
  <c r="D19" i="9" s="1"/>
  <c r="D44" i="19"/>
  <c r="D22" i="6"/>
  <c r="D12" i="4" s="1"/>
  <c r="D29" i="4" s="1"/>
  <c r="H31" i="21"/>
  <c r="H38" i="4"/>
  <c r="H12" i="21"/>
  <c r="H14" i="3" s="1"/>
  <c r="E13" i="30" s="1"/>
  <c r="G24" i="6"/>
  <c r="G46" i="19"/>
  <c r="F24" i="6"/>
  <c r="F46" i="19"/>
  <c r="L24" i="19"/>
  <c r="L17" i="12" s="1"/>
  <c r="I35" i="19"/>
  <c r="I36" i="19" s="1"/>
  <c r="K20" i="19"/>
  <c r="L22" i="19"/>
  <c r="L16" i="12" s="1"/>
  <c r="K18" i="19"/>
  <c r="K14" i="12" s="1"/>
  <c r="H36" i="25" l="1"/>
  <c r="I36" i="25"/>
  <c r="L36" i="25"/>
  <c r="K36" i="25"/>
  <c r="J36" i="25"/>
  <c r="G42" i="9"/>
  <c r="G44" i="9" s="1"/>
  <c r="G50" i="9" s="1"/>
  <c r="J29" i="19"/>
  <c r="J41" i="19" s="1"/>
  <c r="J18" i="6" s="1"/>
  <c r="H16" i="9"/>
  <c r="H17" i="9" s="1"/>
  <c r="H13" i="11" s="1"/>
  <c r="D65" i="29" s="1"/>
  <c r="C65" i="29" s="1"/>
  <c r="C44" i="11"/>
  <c r="C43" i="11" s="1"/>
  <c r="C116" i="12"/>
  <c r="K27" i="19"/>
  <c r="K19" i="12" s="1"/>
  <c r="K31" i="12" s="1"/>
  <c r="L71" i="19"/>
  <c r="L28" i="19" s="1"/>
  <c r="H44" i="19"/>
  <c r="J44" i="19" s="1"/>
  <c r="H28" i="4"/>
  <c r="E34" i="30"/>
  <c r="J46" i="19"/>
  <c r="I46" i="19"/>
  <c r="L46" i="19"/>
  <c r="H46" i="19"/>
  <c r="K46" i="19"/>
  <c r="I14" i="21"/>
  <c r="I15" i="3" s="1"/>
  <c r="I25" i="4" s="1"/>
  <c r="I20" i="21"/>
  <c r="I34" i="3" s="1"/>
  <c r="G22" i="22"/>
  <c r="H52" i="11"/>
  <c r="K16" i="19"/>
  <c r="K26" i="19" s="1"/>
  <c r="I13" i="6"/>
  <c r="I17" i="6" s="1"/>
  <c r="H24" i="4"/>
  <c r="D38" i="9"/>
  <c r="D42" i="9" s="1"/>
  <c r="D44" i="9" s="1"/>
  <c r="D50" i="9" s="1"/>
  <c r="D39" i="11"/>
  <c r="D53" i="4"/>
  <c r="D55" i="4" s="1"/>
  <c r="D61" i="4" s="1"/>
  <c r="D13" i="22"/>
  <c r="D22" i="22" s="1"/>
  <c r="D40" i="11"/>
  <c r="C13" i="22"/>
  <c r="C22" i="22" s="1"/>
  <c r="C38" i="9"/>
  <c r="C42" i="9" s="1"/>
  <c r="C44" i="9" s="1"/>
  <c r="C50" i="9" s="1"/>
  <c r="C61" i="4"/>
  <c r="C39" i="11"/>
  <c r="C40" i="11"/>
  <c r="C18" i="11"/>
  <c r="E39" i="11"/>
  <c r="E53" i="4"/>
  <c r="E55" i="4" s="1"/>
  <c r="E61" i="4" s="1"/>
  <c r="E38" i="9"/>
  <c r="E42" i="9" s="1"/>
  <c r="E44" i="9" s="1"/>
  <c r="E50" i="9" s="1"/>
  <c r="E13" i="22"/>
  <c r="E22" i="22" s="1"/>
  <c r="E40" i="11"/>
  <c r="H54" i="4"/>
  <c r="G61" i="4"/>
  <c r="C16" i="11"/>
  <c r="C50" i="11"/>
  <c r="C53" i="11" s="1"/>
  <c r="C54" i="11" s="1"/>
  <c r="I18" i="21"/>
  <c r="I32" i="3" s="1"/>
  <c r="F50" i="11"/>
  <c r="F53" i="11" s="1"/>
  <c r="D39" i="23"/>
  <c r="D40" i="23" s="1"/>
  <c r="D24" i="23"/>
  <c r="D26" i="23" s="1"/>
  <c r="E39" i="23"/>
  <c r="E40" i="23" s="1"/>
  <c r="E24" i="23"/>
  <c r="E26" i="23" s="1"/>
  <c r="G50" i="11"/>
  <c r="G49" i="11" s="1"/>
  <c r="H39" i="9"/>
  <c r="H14" i="22"/>
  <c r="I35" i="21"/>
  <c r="K25" i="12"/>
  <c r="I16" i="21"/>
  <c r="I16" i="3" s="1"/>
  <c r="L28" i="12"/>
  <c r="J37" i="19"/>
  <c r="J14" i="6" s="1"/>
  <c r="I72" i="21"/>
  <c r="I23" i="3" s="1"/>
  <c r="L27" i="12"/>
  <c r="I12" i="21"/>
  <c r="J26" i="12"/>
  <c r="J18" i="12"/>
  <c r="L20" i="19"/>
  <c r="L15" i="12" s="1"/>
  <c r="K15" i="12"/>
  <c r="J36" i="21"/>
  <c r="K36" i="21" s="1"/>
  <c r="G20" i="9"/>
  <c r="G21" i="9" s="1"/>
  <c r="G14" i="11" s="1"/>
  <c r="I33" i="21"/>
  <c r="I19" i="3" s="1"/>
  <c r="J37" i="21"/>
  <c r="L77" i="21"/>
  <c r="H23" i="11"/>
  <c r="H26" i="11" s="1"/>
  <c r="U13" i="21" s="1"/>
  <c r="E46" i="19"/>
  <c r="E24" i="6"/>
  <c r="L73" i="21"/>
  <c r="H32" i="21"/>
  <c r="H39" i="21" s="1"/>
  <c r="H14" i="4" s="1"/>
  <c r="H21" i="25" s="1"/>
  <c r="H25" i="25" s="1"/>
  <c r="D46" i="19"/>
  <c r="D24" i="6"/>
  <c r="F20" i="9"/>
  <c r="F16" i="11" s="1"/>
  <c r="L19" i="19"/>
  <c r="C48" i="11" l="1"/>
  <c r="K44" i="19"/>
  <c r="J39" i="19"/>
  <c r="J33" i="19"/>
  <c r="J12" i="6" s="1"/>
  <c r="J11" i="6"/>
  <c r="J12" i="9" s="1"/>
  <c r="J13" i="9" s="1"/>
  <c r="J23" i="21"/>
  <c r="J16" i="21" s="1"/>
  <c r="J16" i="3" s="1"/>
  <c r="K29" i="19"/>
  <c r="K41" i="19" s="1"/>
  <c r="H115" i="12"/>
  <c r="J30" i="19"/>
  <c r="F56" i="29" s="1"/>
  <c r="E56" i="29" s="1"/>
  <c r="G44" i="11"/>
  <c r="G43" i="11" s="1"/>
  <c r="G116" i="12"/>
  <c r="C13" i="25"/>
  <c r="L27" i="19"/>
  <c r="L19" i="12" s="1"/>
  <c r="L31" i="12" s="1"/>
  <c r="L18" i="19"/>
  <c r="L14" i="12" s="1"/>
  <c r="L44" i="19"/>
  <c r="I44" i="19"/>
  <c r="C49" i="11"/>
  <c r="C58" i="11" s="1"/>
  <c r="H43" i="9"/>
  <c r="H12" i="22"/>
  <c r="I28" i="4"/>
  <c r="H40" i="23"/>
  <c r="I14" i="9"/>
  <c r="I15" i="9" s="1"/>
  <c r="I12" i="11" s="1"/>
  <c r="I114" i="12" s="1"/>
  <c r="K13" i="12"/>
  <c r="K24" i="12" s="1"/>
  <c r="L56" i="19"/>
  <c r="L17" i="19" s="1"/>
  <c r="I32" i="4"/>
  <c r="I14" i="3"/>
  <c r="I26" i="4"/>
  <c r="I31" i="21"/>
  <c r="I32" i="21" s="1"/>
  <c r="I39" i="21" s="1"/>
  <c r="I14" i="4" s="1"/>
  <c r="I21" i="25" s="1"/>
  <c r="I25" i="25" s="1"/>
  <c r="F49" i="11"/>
  <c r="G53" i="11"/>
  <c r="G54" i="11" s="1"/>
  <c r="J15" i="6"/>
  <c r="G18" i="11"/>
  <c r="G58" i="11" s="1"/>
  <c r="G16" i="11"/>
  <c r="I16" i="9"/>
  <c r="I17" i="9" s="1"/>
  <c r="I13" i="11" s="1"/>
  <c r="I115" i="12" s="1"/>
  <c r="J29" i="12"/>
  <c r="J20" i="12"/>
  <c r="J113" i="12" s="1"/>
  <c r="L26" i="12"/>
  <c r="I52" i="11"/>
  <c r="K26" i="12"/>
  <c r="L36" i="21"/>
  <c r="K37" i="21"/>
  <c r="F21" i="9"/>
  <c r="F14" i="11" s="1"/>
  <c r="E20" i="9"/>
  <c r="E50" i="11"/>
  <c r="D50" i="11"/>
  <c r="D20" i="9"/>
  <c r="F18" i="11"/>
  <c r="K39" i="19" l="1"/>
  <c r="K11" i="6"/>
  <c r="K37" i="19"/>
  <c r="K14" i="6" s="1"/>
  <c r="K33" i="19"/>
  <c r="K35" i="19" s="1"/>
  <c r="K36" i="19" s="1"/>
  <c r="J24" i="21"/>
  <c r="J20" i="21" s="1"/>
  <c r="J34" i="3" s="1"/>
  <c r="J35" i="19"/>
  <c r="J36" i="19" s="1"/>
  <c r="J13" i="6"/>
  <c r="J14" i="9" s="1"/>
  <c r="J15" i="9" s="1"/>
  <c r="J12" i="11" s="1"/>
  <c r="J114" i="12" s="1"/>
  <c r="K23" i="21"/>
  <c r="K33" i="21" s="1"/>
  <c r="K19" i="3" s="1"/>
  <c r="K30" i="19"/>
  <c r="F44" i="11"/>
  <c r="F43" i="11" s="1"/>
  <c r="F48" i="11" s="1"/>
  <c r="F116" i="12"/>
  <c r="L16" i="19"/>
  <c r="L13" i="12" s="1"/>
  <c r="L24" i="12" s="1"/>
  <c r="I38" i="4"/>
  <c r="I14" i="22" s="1"/>
  <c r="I27" i="25"/>
  <c r="I40" i="23"/>
  <c r="J40" i="23" s="1"/>
  <c r="K40" i="23" s="1"/>
  <c r="K18" i="12"/>
  <c r="I24" i="4"/>
  <c r="I23" i="11"/>
  <c r="I26" i="11" s="1"/>
  <c r="V13" i="21" s="1"/>
  <c r="J26" i="4"/>
  <c r="I24" i="11"/>
  <c r="I27" i="11" s="1"/>
  <c r="V19" i="21" s="1"/>
  <c r="G48" i="11"/>
  <c r="K18" i="6"/>
  <c r="K15" i="6"/>
  <c r="J35" i="21"/>
  <c r="J33" i="21"/>
  <c r="J19" i="3" s="1"/>
  <c r="K12" i="9"/>
  <c r="K13" i="9" s="1"/>
  <c r="W18" i="12"/>
  <c r="J32" i="12"/>
  <c r="W14" i="12"/>
  <c r="W13" i="12"/>
  <c r="W19" i="12"/>
  <c r="W16" i="12"/>
  <c r="W17" i="12"/>
  <c r="W15" i="12"/>
  <c r="L25" i="12"/>
  <c r="J76" i="21"/>
  <c r="J39" i="3" s="1"/>
  <c r="J72" i="21"/>
  <c r="J23" i="3" s="1"/>
  <c r="J12" i="21"/>
  <c r="J14" i="3" s="1"/>
  <c r="F54" i="11"/>
  <c r="L37" i="21"/>
  <c r="E49" i="11"/>
  <c r="E53" i="11"/>
  <c r="D16" i="11"/>
  <c r="D21" i="9"/>
  <c r="D14" i="11" s="1"/>
  <c r="D18" i="11"/>
  <c r="E16" i="11"/>
  <c r="E21" i="9"/>
  <c r="E14" i="11" s="1"/>
  <c r="E18" i="11"/>
  <c r="D49" i="11"/>
  <c r="D53" i="11"/>
  <c r="F58" i="11"/>
  <c r="K24" i="21" l="1"/>
  <c r="K12" i="6"/>
  <c r="K13" i="6" s="1"/>
  <c r="K14" i="9" s="1"/>
  <c r="K15" i="9" s="1"/>
  <c r="K12" i="11" s="1"/>
  <c r="K114" i="12" s="1"/>
  <c r="J18" i="21"/>
  <c r="J32" i="3" s="1"/>
  <c r="J24" i="11" s="1"/>
  <c r="J27" i="11" s="1"/>
  <c r="W19" i="21" s="1"/>
  <c r="J17" i="6"/>
  <c r="J16" i="9" s="1"/>
  <c r="J17" i="9" s="1"/>
  <c r="J13" i="11" s="1"/>
  <c r="J115" i="12" s="1"/>
  <c r="J14" i="21"/>
  <c r="J15" i="3" s="1"/>
  <c r="J25" i="4" s="1"/>
  <c r="I39" i="9"/>
  <c r="L26" i="19"/>
  <c r="L29" i="19" s="1"/>
  <c r="L33" i="19" s="1"/>
  <c r="L12" i="6" s="1"/>
  <c r="E44" i="11"/>
  <c r="E43" i="11" s="1"/>
  <c r="E48" i="11" s="1"/>
  <c r="E116" i="12"/>
  <c r="D44" i="11"/>
  <c r="D43" i="11" s="1"/>
  <c r="D48" i="11" s="1"/>
  <c r="D116" i="12"/>
  <c r="L18" i="12"/>
  <c r="L29" i="12" s="1"/>
  <c r="K18" i="21"/>
  <c r="K32" i="3" s="1"/>
  <c r="K20" i="21"/>
  <c r="K34" i="3" s="1"/>
  <c r="J28" i="4"/>
  <c r="L40" i="23"/>
  <c r="K29" i="12"/>
  <c r="K20" i="12"/>
  <c r="K113" i="12" s="1"/>
  <c r="J32" i="4"/>
  <c r="J24" i="4"/>
  <c r="K14" i="21"/>
  <c r="K15" i="3" s="1"/>
  <c r="J31" i="21"/>
  <c r="J32" i="21" s="1"/>
  <c r="J39" i="21" s="1"/>
  <c r="K16" i="21"/>
  <c r="K16" i="3" s="1"/>
  <c r="K72" i="21"/>
  <c r="K23" i="3" s="1"/>
  <c r="K76" i="21"/>
  <c r="K39" i="3" s="1"/>
  <c r="K35" i="21"/>
  <c r="K32" i="4" s="1"/>
  <c r="K27" i="25" s="1"/>
  <c r="K12" i="21"/>
  <c r="K14" i="3" s="1"/>
  <c r="J23" i="11"/>
  <c r="J26" i="11" s="1"/>
  <c r="W13" i="21" s="1"/>
  <c r="D54" i="11"/>
  <c r="E54" i="11"/>
  <c r="E58" i="11"/>
  <c r="D58" i="11"/>
  <c r="K17" i="6" l="1"/>
  <c r="K52" i="11" s="1"/>
  <c r="K24" i="11"/>
  <c r="K27" i="11" s="1"/>
  <c r="X19" i="21" s="1"/>
  <c r="J52" i="11"/>
  <c r="L37" i="19"/>
  <c r="L14" i="6" s="1"/>
  <c r="L23" i="21"/>
  <c r="L12" i="21" s="1"/>
  <c r="L14" i="3" s="1"/>
  <c r="L24" i="4" s="1"/>
  <c r="L11" i="6"/>
  <c r="L12" i="9" s="1"/>
  <c r="L13" i="9" s="1"/>
  <c r="L39" i="19"/>
  <c r="L15" i="6" s="1"/>
  <c r="L35" i="21"/>
  <c r="L32" i="4" s="1"/>
  <c r="L76" i="21"/>
  <c r="L39" i="3" s="1"/>
  <c r="L35" i="19"/>
  <c r="L36" i="19" s="1"/>
  <c r="L24" i="21"/>
  <c r="L20" i="21" s="1"/>
  <c r="L34" i="3" s="1"/>
  <c r="L41" i="19"/>
  <c r="L18" i="6" s="1"/>
  <c r="L30" i="19"/>
  <c r="L20" i="12"/>
  <c r="L113" i="12" s="1"/>
  <c r="J38" i="4"/>
  <c r="J14" i="22" s="1"/>
  <c r="J27" i="25"/>
  <c r="K28" i="4"/>
  <c r="K25" i="4"/>
  <c r="X18" i="12"/>
  <c r="X17" i="12"/>
  <c r="X13" i="12"/>
  <c r="X14" i="12"/>
  <c r="X16" i="12"/>
  <c r="X19" i="12"/>
  <c r="K32" i="12"/>
  <c r="X15" i="12"/>
  <c r="K26" i="4"/>
  <c r="K24" i="4"/>
  <c r="J14" i="4"/>
  <c r="J21" i="25" s="1"/>
  <c r="J25" i="25" s="1"/>
  <c r="K16" i="9"/>
  <c r="K17" i="9" s="1"/>
  <c r="K13" i="11" s="1"/>
  <c r="K115" i="12" s="1"/>
  <c r="K23" i="11"/>
  <c r="K26" i="11" s="1"/>
  <c r="X13" i="21" s="1"/>
  <c r="K38" i="4"/>
  <c r="K31" i="21"/>
  <c r="L13" i="6" l="1"/>
  <c r="L14" i="9" s="1"/>
  <c r="L15" i="9" s="1"/>
  <c r="L12" i="11" s="1"/>
  <c r="L114" i="12" s="1"/>
  <c r="L33" i="21"/>
  <c r="L19" i="3" s="1"/>
  <c r="L16" i="21"/>
  <c r="L16" i="3" s="1"/>
  <c r="L26" i="4" s="1"/>
  <c r="L72" i="21"/>
  <c r="L23" i="3" s="1"/>
  <c r="L28" i="4" s="1"/>
  <c r="L14" i="21"/>
  <c r="L15" i="3" s="1"/>
  <c r="L25" i="4" s="1"/>
  <c r="L18" i="21"/>
  <c r="L32" i="3" s="1"/>
  <c r="L24" i="11" s="1"/>
  <c r="L27" i="11" s="1"/>
  <c r="Y19" i="21" s="1"/>
  <c r="Y18" i="12"/>
  <c r="Z18" i="12" s="1"/>
  <c r="J39" i="9"/>
  <c r="Y17" i="12"/>
  <c r="Z17" i="12" s="1"/>
  <c r="Y16" i="12"/>
  <c r="Z16" i="12" s="1"/>
  <c r="Y13" i="12"/>
  <c r="Z13" i="12" s="1"/>
  <c r="Y19" i="12"/>
  <c r="Z19" i="12" s="1"/>
  <c r="L32" i="12"/>
  <c r="Y14" i="12"/>
  <c r="Z14" i="12" s="1"/>
  <c r="Y15" i="12"/>
  <c r="Z15" i="12" s="1"/>
  <c r="L38" i="4"/>
  <c r="L14" i="22" s="1"/>
  <c r="L27" i="25"/>
  <c r="L23" i="11"/>
  <c r="L26" i="11" s="1"/>
  <c r="Y13" i="21" s="1"/>
  <c r="K39" i="9"/>
  <c r="K14" i="22"/>
  <c r="K32" i="21"/>
  <c r="K39" i="21" s="1"/>
  <c r="L31" i="21"/>
  <c r="L32" i="21" l="1"/>
  <c r="L39" i="21" s="1"/>
  <c r="L17" i="6"/>
  <c r="L52" i="11" s="1"/>
  <c r="L39" i="9"/>
  <c r="K14" i="4"/>
  <c r="L16" i="9" l="1"/>
  <c r="L17" i="9" s="1"/>
  <c r="L13" i="11" s="1"/>
  <c r="L115" i="12" s="1"/>
  <c r="K21" i="25"/>
  <c r="K25" i="25" s="1"/>
  <c r="L14" i="4"/>
  <c r="L21" i="25" l="1"/>
  <c r="L25" i="25" s="1"/>
  <c r="S36" i="9" l="1"/>
  <c r="R36" i="9" l="1"/>
  <c r="Q36" i="9"/>
  <c r="P36" i="9"/>
  <c r="O36" i="9"/>
  <c r="L38" i="11"/>
  <c r="L59" i="4"/>
  <c r="L48" i="9"/>
  <c r="L51" i="11"/>
  <c r="L20" i="25"/>
  <c r="L22" i="25"/>
  <c r="K47" i="22"/>
  <c r="K59" i="4" s="1"/>
  <c r="K48" i="9" s="1"/>
  <c r="J47" i="22"/>
  <c r="J59" i="4" s="1"/>
  <c r="J48" i="9" s="1"/>
  <c r="J19" i="6"/>
  <c r="L47" i="22"/>
  <c r="L19" i="6"/>
  <c r="L20" i="6"/>
  <c r="L43" i="19" s="1"/>
  <c r="L21" i="6" s="1"/>
  <c r="H47" i="22"/>
  <c r="H59" i="4" s="1"/>
  <c r="H48" i="9" s="1"/>
  <c r="I47" i="22"/>
  <c r="I59" i="4" s="1"/>
  <c r="I48" i="9" s="1"/>
  <c r="L18" i="9" l="1"/>
  <c r="L19" i="9" s="1"/>
  <c r="I19" i="6"/>
  <c r="H19" i="6"/>
  <c r="K19" i="6"/>
  <c r="D54" i="25"/>
  <c r="D55" i="25" s="1"/>
  <c r="L24" i="25"/>
  <c r="J20" i="6"/>
  <c r="J38" i="11"/>
  <c r="L58" i="4"/>
  <c r="L47" i="9" s="1"/>
  <c r="L22" i="6"/>
  <c r="L66" i="21"/>
  <c r="L67" i="21" s="1"/>
  <c r="L33" i="3" s="1"/>
  <c r="L54" i="21"/>
  <c r="L55" i="21" s="1"/>
  <c r="L22" i="3" s="1"/>
  <c r="L24" i="3" s="1"/>
  <c r="L60" i="21"/>
  <c r="L61" i="21" s="1"/>
  <c r="L38" i="3" s="1"/>
  <c r="I38" i="11" l="1"/>
  <c r="I20" i="6"/>
  <c r="H38" i="11"/>
  <c r="H20" i="6"/>
  <c r="J20" i="25"/>
  <c r="J22" i="25" s="1"/>
  <c r="J43" i="19"/>
  <c r="J21" i="6" s="1"/>
  <c r="J22" i="6" s="1"/>
  <c r="J51" i="11"/>
  <c r="J18" i="9"/>
  <c r="J19" i="9" s="1"/>
  <c r="L28" i="9"/>
  <c r="K38" i="11"/>
  <c r="K20" i="6"/>
  <c r="L35" i="3"/>
  <c r="L30" i="9" s="1"/>
  <c r="L24" i="23"/>
  <c r="L39" i="23"/>
  <c r="L38" i="23" s="1"/>
  <c r="L12" i="4"/>
  <c r="L45" i="19"/>
  <c r="L23" i="6" s="1"/>
  <c r="L24" i="6" s="1"/>
  <c r="I20" i="25" l="1"/>
  <c r="I22" i="25" s="1"/>
  <c r="I43" i="19"/>
  <c r="I21" i="6" s="1"/>
  <c r="I18" i="9"/>
  <c r="I19" i="9" s="1"/>
  <c r="I51" i="11"/>
  <c r="H20" i="25"/>
  <c r="H43" i="19"/>
  <c r="H21" i="6" s="1"/>
  <c r="H22" i="6" s="1"/>
  <c r="H51" i="11"/>
  <c r="H18" i="9"/>
  <c r="H19" i="9" s="1"/>
  <c r="L50" i="11"/>
  <c r="L26" i="6"/>
  <c r="L23" i="9" s="1"/>
  <c r="L20" i="9"/>
  <c r="K18" i="9"/>
  <c r="K19" i="9" s="1"/>
  <c r="K43" i="19"/>
  <c r="K21" i="6" s="1"/>
  <c r="K22" i="6" s="1"/>
  <c r="K51" i="11"/>
  <c r="K20" i="25"/>
  <c r="K22" i="25" s="1"/>
  <c r="L44" i="4"/>
  <c r="L15" i="22" s="1"/>
  <c r="L25" i="23"/>
  <c r="L26" i="23"/>
  <c r="J54" i="21"/>
  <c r="J55" i="21" s="1"/>
  <c r="J22" i="3" s="1"/>
  <c r="J24" i="25"/>
  <c r="J60" i="21"/>
  <c r="J61" i="21" s="1"/>
  <c r="J38" i="3" s="1"/>
  <c r="J58" i="4"/>
  <c r="J47" i="9" s="1"/>
  <c r="J66" i="21"/>
  <c r="J67" i="21" s="1"/>
  <c r="J33" i="3" s="1"/>
  <c r="J45" i="19"/>
  <c r="J23" i="6" s="1"/>
  <c r="J24" i="6"/>
  <c r="J24" i="23"/>
  <c r="J12" i="4"/>
  <c r="J39" i="23"/>
  <c r="J38" i="23" s="1"/>
  <c r="L27" i="6" l="1"/>
  <c r="I66" i="21"/>
  <c r="I67" i="21" s="1"/>
  <c r="I33" i="3" s="1"/>
  <c r="I35" i="3" s="1"/>
  <c r="I30" i="9" s="1"/>
  <c r="I60" i="21"/>
  <c r="I61" i="21" s="1"/>
  <c r="I38" i="3" s="1"/>
  <c r="I24" i="25"/>
  <c r="I54" i="21"/>
  <c r="I55" i="21" s="1"/>
  <c r="I22" i="3" s="1"/>
  <c r="I58" i="4"/>
  <c r="I47" i="9" s="1"/>
  <c r="I22" i="6"/>
  <c r="H58" i="4"/>
  <c r="H47" i="9" s="1"/>
  <c r="H66" i="21"/>
  <c r="H67" i="21" s="1"/>
  <c r="H33" i="3" s="1"/>
  <c r="H54" i="21"/>
  <c r="H55" i="21" s="1"/>
  <c r="H22" i="3" s="1"/>
  <c r="H60" i="21"/>
  <c r="H61" i="21" s="1"/>
  <c r="H38" i="3" s="1"/>
  <c r="E33" i="30" s="1"/>
  <c r="H12" i="4"/>
  <c r="H24" i="23"/>
  <c r="H39" i="23"/>
  <c r="H38" i="23" s="1"/>
  <c r="H45" i="19"/>
  <c r="H23" i="6" s="1"/>
  <c r="H24" i="6" s="1"/>
  <c r="H22" i="25"/>
  <c r="D11" i="29"/>
  <c r="F11" i="29" s="1"/>
  <c r="H11" i="29" s="1"/>
  <c r="H13" i="29" s="1"/>
  <c r="C16" i="31" s="1"/>
  <c r="K39" i="23"/>
  <c r="K38" i="23" s="1"/>
  <c r="K45" i="19"/>
  <c r="K23" i="6" s="1"/>
  <c r="K24" i="6" s="1"/>
  <c r="K24" i="23"/>
  <c r="K12" i="4"/>
  <c r="K24" i="25"/>
  <c r="J25" i="23"/>
  <c r="J26" i="23" s="1"/>
  <c r="J44" i="4"/>
  <c r="J15" i="22" s="1"/>
  <c r="K60" i="21"/>
  <c r="K61" i="21" s="1"/>
  <c r="K38" i="3" s="1"/>
  <c r="K54" i="21"/>
  <c r="K55" i="21" s="1"/>
  <c r="K22" i="3" s="1"/>
  <c r="K21" i="4" s="1"/>
  <c r="K66" i="21"/>
  <c r="K67" i="21" s="1"/>
  <c r="K33" i="3" s="1"/>
  <c r="K58" i="4"/>
  <c r="K47" i="9" s="1"/>
  <c r="J26" i="6"/>
  <c r="J23" i="9" s="1"/>
  <c r="J20" i="9"/>
  <c r="J50" i="11"/>
  <c r="J35" i="3"/>
  <c r="J30" i="9" s="1"/>
  <c r="J27" i="4"/>
  <c r="J26" i="25" s="1"/>
  <c r="J30" i="25" s="1"/>
  <c r="L24" i="9"/>
  <c r="L31" i="23"/>
  <c r="L33" i="23" s="1"/>
  <c r="L35" i="23" s="1"/>
  <c r="L45" i="4" s="1"/>
  <c r="L16" i="22" s="1"/>
  <c r="L21" i="9"/>
  <c r="L14" i="11" s="1"/>
  <c r="J24" i="3"/>
  <c r="L53" i="11"/>
  <c r="H24" i="25" l="1"/>
  <c r="I24" i="23"/>
  <c r="I12" i="4"/>
  <c r="I39" i="23"/>
  <c r="I38" i="23" s="1"/>
  <c r="I45" i="19"/>
  <c r="I23" i="6" s="1"/>
  <c r="I24" i="6"/>
  <c r="I24" i="3"/>
  <c r="I28" i="9" s="1"/>
  <c r="J21" i="4"/>
  <c r="J29" i="4" s="1"/>
  <c r="J13" i="22" s="1"/>
  <c r="H50" i="11"/>
  <c r="H53" i="11" s="1"/>
  <c r="H26" i="6"/>
  <c r="H23" i="9" s="1"/>
  <c r="H20" i="9"/>
  <c r="H21" i="9" s="1"/>
  <c r="H14" i="11" s="1"/>
  <c r="H116" i="12" s="1"/>
  <c r="H44" i="4"/>
  <c r="H15" i="22" s="1"/>
  <c r="H25" i="23"/>
  <c r="H26" i="23" s="1"/>
  <c r="H15" i="23" s="1"/>
  <c r="H47" i="3" s="1"/>
  <c r="H21" i="4"/>
  <c r="H24" i="3"/>
  <c r="H28" i="9" s="1"/>
  <c r="E21" i="30"/>
  <c r="G17" i="30" s="1"/>
  <c r="I21" i="4"/>
  <c r="H27" i="4"/>
  <c r="H26" i="25" s="1"/>
  <c r="E28" i="30"/>
  <c r="G24" i="30" s="1"/>
  <c r="H35" i="3"/>
  <c r="H30" i="9" s="1"/>
  <c r="I27" i="4"/>
  <c r="I26" i="25" s="1"/>
  <c r="I30" i="25" s="1"/>
  <c r="J31" i="25" s="1"/>
  <c r="C13" i="32"/>
  <c r="E16" i="31"/>
  <c r="K20" i="9"/>
  <c r="K50" i="11"/>
  <c r="K26" i="6"/>
  <c r="K23" i="9" s="1"/>
  <c r="J53" i="11"/>
  <c r="L44" i="11"/>
  <c r="L116" i="12"/>
  <c r="J28" i="9"/>
  <c r="J37" i="25"/>
  <c r="J21" i="9"/>
  <c r="J14" i="11" s="1"/>
  <c r="J27" i="6"/>
  <c r="K35" i="3"/>
  <c r="K30" i="9" s="1"/>
  <c r="K27" i="4"/>
  <c r="K26" i="25" s="1"/>
  <c r="K30" i="25" s="1"/>
  <c r="L27" i="4"/>
  <c r="L26" i="25" s="1"/>
  <c r="L30" i="25" s="1"/>
  <c r="L21" i="4"/>
  <c r="L29" i="4" s="1"/>
  <c r="K24" i="3"/>
  <c r="L54" i="11"/>
  <c r="K25" i="23"/>
  <c r="K26" i="23" s="1"/>
  <c r="K44" i="4"/>
  <c r="K15" i="22" s="1"/>
  <c r="K29" i="4" l="1"/>
  <c r="H30" i="25"/>
  <c r="H37" i="25" s="1"/>
  <c r="H29" i="4"/>
  <c r="H13" i="22" s="1"/>
  <c r="J40" i="11"/>
  <c r="J38" i="9"/>
  <c r="I25" i="23"/>
  <c r="I26" i="23" s="1"/>
  <c r="I15" i="23" s="1"/>
  <c r="I44" i="4"/>
  <c r="I15" i="22" s="1"/>
  <c r="I50" i="11"/>
  <c r="I53" i="11" s="1"/>
  <c r="I26" i="6"/>
  <c r="I23" i="9" s="1"/>
  <c r="I20" i="9"/>
  <c r="I21" i="9" s="1"/>
  <c r="I14" i="11" s="1"/>
  <c r="I44" i="11" s="1"/>
  <c r="I29" i="4"/>
  <c r="I40" i="11" s="1"/>
  <c r="I37" i="25"/>
  <c r="H44" i="11"/>
  <c r="E13" i="32"/>
  <c r="D13" i="32"/>
  <c r="H54" i="11"/>
  <c r="H27" i="6"/>
  <c r="K31" i="25"/>
  <c r="K37" i="25"/>
  <c r="K28" i="9"/>
  <c r="L31" i="25"/>
  <c r="L37" i="25"/>
  <c r="D47" i="25"/>
  <c r="D49" i="25" s="1"/>
  <c r="K27" i="6"/>
  <c r="J54" i="11"/>
  <c r="J24" i="9"/>
  <c r="J31" i="23"/>
  <c r="J33" i="23" s="1"/>
  <c r="J35" i="23" s="1"/>
  <c r="J45" i="4" s="1"/>
  <c r="J16" i="22" s="1"/>
  <c r="K13" i="22"/>
  <c r="K40" i="11"/>
  <c r="K38" i="9"/>
  <c r="J44" i="11"/>
  <c r="J116" i="12"/>
  <c r="K53" i="11"/>
  <c r="K54" i="11" s="1"/>
  <c r="L40" i="11"/>
  <c r="L13" i="22"/>
  <c r="L38" i="9"/>
  <c r="K21" i="9"/>
  <c r="K14" i="11" s="1"/>
  <c r="I116" i="12" l="1"/>
  <c r="H38" i="9"/>
  <c r="H31" i="25"/>
  <c r="I31" i="25"/>
  <c r="H40" i="11"/>
  <c r="I27" i="6"/>
  <c r="I31" i="23" s="1"/>
  <c r="I33" i="23" s="1"/>
  <c r="I35" i="23" s="1"/>
  <c r="I45" i="4" s="1"/>
  <c r="I16" i="22" s="1"/>
  <c r="I24" i="9"/>
  <c r="I54" i="11"/>
  <c r="I38" i="9"/>
  <c r="I13" i="22"/>
  <c r="F13" i="32"/>
  <c r="J15" i="23"/>
  <c r="I47" i="3"/>
  <c r="H24" i="9"/>
  <c r="H31" i="23"/>
  <c r="H33" i="23" s="1"/>
  <c r="H35" i="23" s="1"/>
  <c r="K24" i="9"/>
  <c r="K31" i="23"/>
  <c r="K33" i="23" s="1"/>
  <c r="K35" i="23" s="1"/>
  <c r="K45" i="4" s="1"/>
  <c r="K16" i="22" s="1"/>
  <c r="C39" i="25"/>
  <c r="K116" i="12"/>
  <c r="K44" i="11"/>
  <c r="K15" i="23" l="1"/>
  <c r="J47" i="3"/>
  <c r="H28" i="23"/>
  <c r="H45" i="4"/>
  <c r="H16" i="22" s="1"/>
  <c r="H22" i="22" s="1"/>
  <c r="H25" i="22" s="1"/>
  <c r="H29" i="22" s="1"/>
  <c r="D50" i="25"/>
  <c r="D56" i="25"/>
  <c r="H30" i="22" l="1"/>
  <c r="H41" i="22"/>
  <c r="H43" i="4"/>
  <c r="H49" i="4" s="1"/>
  <c r="I28" i="23"/>
  <c r="H18" i="23"/>
  <c r="K47" i="3"/>
  <c r="L15" i="23"/>
  <c r="L47" i="3" s="1"/>
  <c r="C13" i="31"/>
  <c r="E13" i="31" s="1"/>
  <c r="D70" i="25"/>
  <c r="D74" i="25" s="1"/>
  <c r="D76" i="25" s="1"/>
  <c r="G71" i="25" s="1"/>
  <c r="C12" i="31"/>
  <c r="D61" i="25"/>
  <c r="D65" i="25" s="1"/>
  <c r="D67" i="25" s="1"/>
  <c r="G62" i="25" s="1"/>
  <c r="H50" i="3" l="1"/>
  <c r="H51" i="3" s="1"/>
  <c r="H53" i="3" s="1"/>
  <c r="H19" i="23"/>
  <c r="H21" i="23" s="1"/>
  <c r="H40" i="9"/>
  <c r="H42" i="9" s="1"/>
  <c r="H44" i="9" s="1"/>
  <c r="H53" i="4"/>
  <c r="H55" i="4" s="1"/>
  <c r="I18" i="23"/>
  <c r="J28" i="23"/>
  <c r="H40" i="22"/>
  <c r="H42" i="22" s="1"/>
  <c r="H33" i="22"/>
  <c r="I12" i="22" s="1"/>
  <c r="I22" i="22" s="1"/>
  <c r="I25" i="22" s="1"/>
  <c r="I29" i="22" s="1"/>
  <c r="I30" i="22" s="1"/>
  <c r="I40" i="22" s="1"/>
  <c r="H31" i="22"/>
  <c r="I28" i="22" s="1"/>
  <c r="C12" i="32"/>
  <c r="E12" i="31"/>
  <c r="I31" i="22" l="1"/>
  <c r="J28" i="22" s="1"/>
  <c r="I33" i="22"/>
  <c r="J12" i="22" s="1"/>
  <c r="J22" i="22" s="1"/>
  <c r="J25" i="22" s="1"/>
  <c r="J29" i="22" s="1"/>
  <c r="I38" i="22"/>
  <c r="H37" i="3"/>
  <c r="I41" i="22"/>
  <c r="I42" i="22" s="1"/>
  <c r="I37" i="3" s="1"/>
  <c r="I43" i="4"/>
  <c r="I49" i="4" s="1"/>
  <c r="I40" i="9" s="1"/>
  <c r="I42" i="9" s="1"/>
  <c r="I44" i="9" s="1"/>
  <c r="K28" i="23"/>
  <c r="J18" i="23"/>
  <c r="I50" i="3"/>
  <c r="I51" i="3" s="1"/>
  <c r="I53" i="3" s="1"/>
  <c r="I19" i="23"/>
  <c r="I21" i="23" s="1"/>
  <c r="H35" i="22"/>
  <c r="H13" i="3"/>
  <c r="I54" i="4"/>
  <c r="I43" i="9" s="1"/>
  <c r="H18" i="11"/>
  <c r="H32" i="9"/>
  <c r="E12" i="32"/>
  <c r="D12" i="32"/>
  <c r="J30" i="22" l="1"/>
  <c r="I53" i="4"/>
  <c r="I55" i="4" s="1"/>
  <c r="I35" i="22" s="1"/>
  <c r="J38" i="22"/>
  <c r="H31" i="11"/>
  <c r="H50" i="9"/>
  <c r="H17" i="3"/>
  <c r="E12" i="30"/>
  <c r="G11" i="30" s="1"/>
  <c r="J50" i="3"/>
  <c r="J51" i="3" s="1"/>
  <c r="J53" i="3" s="1"/>
  <c r="J19" i="23"/>
  <c r="J21" i="23" s="1"/>
  <c r="I32" i="9"/>
  <c r="I18" i="11"/>
  <c r="K18" i="23"/>
  <c r="L28" i="23"/>
  <c r="L18" i="23" s="1"/>
  <c r="H39" i="11"/>
  <c r="H17" i="11"/>
  <c r="H40" i="3"/>
  <c r="E32" i="30"/>
  <c r="G31" i="30" s="1"/>
  <c r="H61" i="4"/>
  <c r="F12" i="32"/>
  <c r="J40" i="22"/>
  <c r="J33" i="22"/>
  <c r="K12" i="22" s="1"/>
  <c r="K22" i="22" s="1"/>
  <c r="J31" i="22"/>
  <c r="K28" i="22" s="1"/>
  <c r="I13" i="3"/>
  <c r="I61" i="4" s="1"/>
  <c r="J54" i="4"/>
  <c r="J43" i="9" s="1"/>
  <c r="J41" i="22"/>
  <c r="J43" i="4"/>
  <c r="J49" i="4" s="1"/>
  <c r="I40" i="3"/>
  <c r="I39" i="11"/>
  <c r="I17" i="11"/>
  <c r="G36" i="30" l="1"/>
  <c r="C18" i="31" s="1"/>
  <c r="C14" i="32" s="1"/>
  <c r="K19" i="23"/>
  <c r="K21" i="23" s="1"/>
  <c r="K50" i="3"/>
  <c r="K51" i="3" s="1"/>
  <c r="K53" i="3" s="1"/>
  <c r="J18" i="11"/>
  <c r="J32" i="9"/>
  <c r="J42" i="22"/>
  <c r="K38" i="22" s="1"/>
  <c r="L19" i="23"/>
  <c r="L21" i="23" s="1"/>
  <c r="L50" i="3"/>
  <c r="L51" i="3" s="1"/>
  <c r="L53" i="3" s="1"/>
  <c r="H30" i="11"/>
  <c r="H26" i="3"/>
  <c r="H27" i="9"/>
  <c r="H31" i="9"/>
  <c r="H42" i="3"/>
  <c r="H55" i="3" s="1"/>
  <c r="I42" i="3"/>
  <c r="I55" i="3" s="1"/>
  <c r="I31" i="9"/>
  <c r="J53" i="4"/>
  <c r="J55" i="4" s="1"/>
  <c r="J40" i="9"/>
  <c r="J42" i="9" s="1"/>
  <c r="J44" i="9" s="1"/>
  <c r="K25" i="22"/>
  <c r="K29" i="22" s="1"/>
  <c r="K30" i="22" s="1"/>
  <c r="K40" i="22" s="1"/>
  <c r="E14" i="32"/>
  <c r="D14" i="32"/>
  <c r="I31" i="11"/>
  <c r="I17" i="3"/>
  <c r="I50" i="9"/>
  <c r="E18" i="31" l="1"/>
  <c r="E20" i="31" s="1"/>
  <c r="E22" i="31" s="1"/>
  <c r="F14" i="32"/>
  <c r="H33" i="9"/>
  <c r="H60" i="3"/>
  <c r="H35" i="11"/>
  <c r="H21" i="11"/>
  <c r="H34" i="11"/>
  <c r="H29" i="9"/>
  <c r="H16" i="11" s="1"/>
  <c r="L32" i="9"/>
  <c r="L18" i="11"/>
  <c r="J37" i="3"/>
  <c r="J40" i="3" s="1"/>
  <c r="K18" i="11"/>
  <c r="K32" i="9"/>
  <c r="K33" i="22"/>
  <c r="L12" i="22" s="1"/>
  <c r="L22" i="22" s="1"/>
  <c r="I30" i="11"/>
  <c r="I27" i="9"/>
  <c r="I26" i="3"/>
  <c r="I33" i="9"/>
  <c r="K31" i="22"/>
  <c r="L28" i="22" s="1"/>
  <c r="K43" i="4"/>
  <c r="K49" i="4" s="1"/>
  <c r="K41" i="22"/>
  <c r="K42" i="22" s="1"/>
  <c r="K54" i="4"/>
  <c r="K43" i="9" s="1"/>
  <c r="J35" i="22"/>
  <c r="J13" i="3"/>
  <c r="E24" i="31" l="1"/>
  <c r="E29" i="31" s="1"/>
  <c r="J17" i="11"/>
  <c r="H45" i="11"/>
  <c r="H55" i="11"/>
  <c r="J39" i="11"/>
  <c r="H56" i="11"/>
  <c r="H46" i="11"/>
  <c r="H43" i="11" s="1"/>
  <c r="H48" i="11" s="1"/>
  <c r="H35" i="9"/>
  <c r="I29" i="9"/>
  <c r="I35" i="9" s="1"/>
  <c r="I35" i="11"/>
  <c r="I21" i="11"/>
  <c r="I34" i="11"/>
  <c r="J31" i="11"/>
  <c r="J17" i="3"/>
  <c r="J61" i="4"/>
  <c r="L25" i="22"/>
  <c r="L29" i="22" s="1"/>
  <c r="L38" i="22"/>
  <c r="K37" i="3"/>
  <c r="J42" i="3"/>
  <c r="J55" i="3" s="1"/>
  <c r="J31" i="9"/>
  <c r="J50" i="9"/>
  <c r="K53" i="4"/>
  <c r="K55" i="4" s="1"/>
  <c r="K40" i="9"/>
  <c r="K42" i="9" s="1"/>
  <c r="K44" i="9" s="1"/>
  <c r="I60" i="3"/>
  <c r="H49" i="11" l="1"/>
  <c r="H58" i="11" s="1"/>
  <c r="L41" i="22"/>
  <c r="L43" i="4"/>
  <c r="L49" i="4" s="1"/>
  <c r="L30" i="22"/>
  <c r="J27" i="9"/>
  <c r="J30" i="11"/>
  <c r="J26" i="3"/>
  <c r="J60" i="3" s="1"/>
  <c r="I56" i="11"/>
  <c r="I46" i="11"/>
  <c r="I43" i="11" s="1"/>
  <c r="I48" i="11" s="1"/>
  <c r="K40" i="3"/>
  <c r="K39" i="11"/>
  <c r="K17" i="11"/>
  <c r="L54" i="4"/>
  <c r="L43" i="9" s="1"/>
  <c r="K13" i="3"/>
  <c r="K50" i="9" s="1"/>
  <c r="K35" i="22"/>
  <c r="K61" i="4"/>
  <c r="I45" i="11"/>
  <c r="I55" i="11"/>
  <c r="J33" i="9"/>
  <c r="I16" i="11"/>
  <c r="I49" i="11" l="1"/>
  <c r="I58" i="11" s="1"/>
  <c r="L40" i="22"/>
  <c r="L42" i="22" s="1"/>
  <c r="L37" i="3" s="1"/>
  <c r="L33" i="22"/>
  <c r="K31" i="9"/>
  <c r="K42" i="3"/>
  <c r="K55" i="3" s="1"/>
  <c r="L53" i="4"/>
  <c r="L55" i="4" s="1"/>
  <c r="L40" i="9"/>
  <c r="L42" i="9" s="1"/>
  <c r="L44" i="9" s="1"/>
  <c r="J29" i="9"/>
  <c r="J21" i="11"/>
  <c r="J35" i="11"/>
  <c r="J34" i="11"/>
  <c r="K17" i="3"/>
  <c r="K31" i="11"/>
  <c r="L31" i="22"/>
  <c r="J56" i="11" l="1"/>
  <c r="J46" i="11"/>
  <c r="J16" i="11"/>
  <c r="K33" i="9"/>
  <c r="L40" i="3"/>
  <c r="L39" i="11"/>
  <c r="L17" i="11"/>
  <c r="J45" i="11"/>
  <c r="J55" i="11"/>
  <c r="J49" i="11" s="1"/>
  <c r="J58" i="11" s="1"/>
  <c r="L13" i="3"/>
  <c r="L61" i="4" s="1"/>
  <c r="L35" i="22"/>
  <c r="K30" i="11"/>
  <c r="K27" i="9"/>
  <c r="K26" i="3"/>
  <c r="J35" i="9"/>
  <c r="L50" i="9" l="1"/>
  <c r="L31" i="9"/>
  <c r="L42" i="3"/>
  <c r="L55" i="3" s="1"/>
  <c r="K29" i="9"/>
  <c r="K21" i="11"/>
  <c r="K35" i="11"/>
  <c r="K34" i="11"/>
  <c r="L31" i="11"/>
  <c r="L17" i="3"/>
  <c r="J43" i="11"/>
  <c r="J48" i="11" s="1"/>
  <c r="K60" i="3"/>
  <c r="L30" i="11" l="1"/>
  <c r="L27" i="9"/>
  <c r="L26" i="3"/>
  <c r="K45" i="11"/>
  <c r="K55" i="11"/>
  <c r="K16" i="11"/>
  <c r="K46" i="11"/>
  <c r="K43" i="11" s="1"/>
  <c r="K48" i="11" s="1"/>
  <c r="K56" i="11"/>
  <c r="L33" i="9"/>
  <c r="L60" i="3"/>
  <c r="K35" i="9"/>
  <c r="K49" i="11" l="1"/>
  <c r="K58" i="11" s="1"/>
  <c r="L21" i="11"/>
  <c r="L35" i="11"/>
  <c r="L29" i="9"/>
  <c r="L16" i="11" s="1"/>
  <c r="L34" i="11"/>
  <c r="L55" i="11" l="1"/>
  <c r="L45" i="11"/>
  <c r="L46" i="11"/>
  <c r="L56" i="11"/>
  <c r="L35" i="9"/>
  <c r="L43" i="11" l="1"/>
  <c r="L48" i="11" s="1"/>
  <c r="L49" i="11"/>
  <c r="L58" i="11" s="1"/>
  <c r="Q1" i="11" l="1"/>
  <c r="Q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B200" authorId="0" shapeId="0" xr:uid="{3815FCFA-FF93-4414-910F-325AFB37186E}">
      <text>
        <r>
          <rPr>
            <b/>
            <sz val="9"/>
            <color indexed="81"/>
            <rFont val="Tahoma"/>
            <charset val="1"/>
          </rPr>
          <t>https://finance.yahoo.com/quote/CL/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tc={1DC42E46-A488-4B3E-8E6A-594F5BE19017}</author>
  </authors>
  <commentList>
    <comment ref="O17" authorId="0" shapeId="0" xr:uid="{1DC42E46-A488-4B3E-8E6A-594F5BE1901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EBIT/Capital Employed.
--&gt;EBIT: Operating Profit - Non-service related postretirement costs.
--&gt;Capital Employed: Total Equity + Long term debt.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tc={7969750C-56A9-47B5-AD37-FA85B877608B}</author>
    <author>tc={291C4542-E65D-4184-857F-EE7D02C11709}</author>
    <author>tc={2BED6198-54C9-4871-BA64-363316A980ED}</author>
    <author>tc={AAFE7DCE-4D67-4F9E-B3F9-686D6C2A2AEF}</author>
    <author>tc={0B6E0BA9-0F0D-4269-A3BD-1A7401355551}</author>
    <author>tc={B8A7892E-B044-419D-B225-C50723567876}</author>
  </authors>
  <commentList>
    <comment ref="B62" authorId="0" shapeId="0" xr:uid="{7969750C-56A9-47B5-AD37-FA85B877608B}">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Case 1:- 2024-2026: Captures the impact of war. 2027 onwards: revival Post war </t>
        </r>
      </text>
    </comment>
    <comment ref="B65" authorId="1" shapeId="0" xr:uid="{291C4542-E65D-4184-857F-EE7D02C11709}">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general increase of 0.3% 
</t>
        </r>
      </text>
    </comment>
    <comment ref="B68" authorId="2" shapeId="0" xr:uid="{2BED6198-54C9-4871-BA64-363316A980ED}">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 general increase of 0.5% </t>
        </r>
      </text>
    </comment>
    <comment ref="B71" authorId="3" shapeId="0" xr:uid="{AAFE7DCE-4D67-4F9E-B3F9-686D6C2A2AE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 general increase of 0.5%</t>
        </r>
      </text>
    </comment>
    <comment ref="B74" authorId="4" shapeId="0" xr:uid="{0B6E0BA9-0F0D-4269-A3BD-1A74013555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 general decline of 0.5%</t>
        </r>
      </text>
    </comment>
    <comment ref="B77" authorId="5" shapeId="0" xr:uid="{B8A7892E-B044-419D-B225-C5072356787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 general decline of 0.5%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tc={C689D0C0-FE60-423C-858D-50DBB8278078}</author>
  </authors>
  <commentList>
    <comment ref="H20" authorId="0" shapeId="0" xr:uid="{C689D0C0-FE60-423C-858D-50DBB827807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This balance is constant at 348 as we have captured the impact of profits and dividends pertaining to NCI within retained earnings calculation below.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tc={D45CFE4E-1F9F-4DBE-903E-698E42679576}</author>
  </authors>
  <commentList>
    <comment ref="C14" authorId="0" shapeId="0" xr:uid="{D45CFE4E-1F9F-4DBE-903E-698E4267957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https://www.imf.org/external/datamapper/NGDP_RPCH@WEO/OEMDC/ADVEC/WEOWORLD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tc={F509C04D-20A5-4D46-A124-27725D3F5DE2}</author>
    <author>tc={C6EDF541-C75D-46FC-8DDD-E6F0C6C2CA12}</author>
  </authors>
  <commentList>
    <comment ref="I14" authorId="0" shapeId="0" xr:uid="{F509C04D-20A5-4D46-A124-27725D3F5DE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https://pages.stern.nyu.edu/~adamodar/New_Home_Page/datafile/ctryprem.html</t>
        </r>
      </text>
    </comment>
    <comment ref="I16" authorId="1" shapeId="0" xr:uid="{C6EDF541-C75D-46FC-8DDD-E6F0C6C2CA1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Interest expense/average debt</t>
        </r>
      </text>
    </comment>
  </commentList>
</comments>
</file>

<file path=xl/sharedStrings.xml><?xml version="1.0" encoding="utf-8"?>
<sst xmlns="http://schemas.openxmlformats.org/spreadsheetml/2006/main" count="1105" uniqueCount="696">
  <si>
    <t>Industry</t>
  </si>
  <si>
    <t>Soap and cleaning compound manufacturing in the US-32561</t>
  </si>
  <si>
    <t>Pet Food Production in the US-OD4347</t>
  </si>
  <si>
    <t>Dry Pet Food Production in the US-OD4348</t>
  </si>
  <si>
    <t>Peers</t>
  </si>
  <si>
    <t>Soap</t>
  </si>
  <si>
    <t>P&amp;G</t>
  </si>
  <si>
    <t>Ecolab Inc.</t>
  </si>
  <si>
    <t>Unilever NV</t>
  </si>
  <si>
    <t>Mars Inc.</t>
  </si>
  <si>
    <t>Nestle Sa</t>
  </si>
  <si>
    <t>J.M. Smucker</t>
  </si>
  <si>
    <t>Pet Food+Dry Pet</t>
  </si>
  <si>
    <t>Inventories</t>
  </si>
  <si>
    <t>Goodwill</t>
  </si>
  <si>
    <t>Receivables</t>
  </si>
  <si>
    <t>Legends</t>
  </si>
  <si>
    <t>Hardcoded Inputs</t>
  </si>
  <si>
    <t>Intersheet Linking</t>
  </si>
  <si>
    <t>Calculation</t>
  </si>
  <si>
    <t>Particulars</t>
  </si>
  <si>
    <r>
      <t>Historical</t>
    </r>
    <r>
      <rPr>
        <b/>
        <vertAlign val="superscript"/>
        <sz val="11"/>
        <color theme="0"/>
        <rFont val="Calibri"/>
        <family val="2"/>
        <scheme val="minor"/>
      </rPr>
      <t>1</t>
    </r>
  </si>
  <si>
    <t>Footnotes:</t>
  </si>
  <si>
    <t>1. All historical data (2019-2023) has been obtained from the 10-Ks filed by the Company.</t>
  </si>
  <si>
    <t>Total Assets</t>
  </si>
  <si>
    <t xml:space="preserve">   Total Current Assets</t>
  </si>
  <si>
    <t xml:space="preserve">   Total Non-Current Assets</t>
  </si>
  <si>
    <t>Assets:</t>
  </si>
  <si>
    <t xml:space="preserve">   1. Current Assets:</t>
  </si>
  <si>
    <t xml:space="preserve">   2. Non-Current Assets:</t>
  </si>
  <si>
    <t>Liabilities and Shareholders’ Equity:</t>
  </si>
  <si>
    <t>Total Current Liabilities</t>
  </si>
  <si>
    <t>Total Non-Current Liabilities</t>
  </si>
  <si>
    <t>1. Current Liabilities:</t>
  </si>
  <si>
    <t>Total Liabilities</t>
  </si>
  <si>
    <t>Total Equity</t>
  </si>
  <si>
    <t>Total Liabilities and Equity</t>
  </si>
  <si>
    <t>3. Shareholders’ Equity:</t>
  </si>
  <si>
    <t>Non-Controlling Interests</t>
  </si>
  <si>
    <t>Check</t>
  </si>
  <si>
    <t>Operating Activities:</t>
  </si>
  <si>
    <t>Investing Activities:</t>
  </si>
  <si>
    <t>Financing Activities:</t>
  </si>
  <si>
    <t>Supplemental Cash Flow Information:</t>
  </si>
  <si>
    <t>Ticker</t>
  </si>
  <si>
    <t>Stock Exchange</t>
  </si>
  <si>
    <t>Latest fiscal year end date</t>
  </si>
  <si>
    <t>COLGATE-PALMOLIVE CO</t>
  </si>
  <si>
    <t>CL</t>
  </si>
  <si>
    <t>NYSE</t>
  </si>
  <si>
    <t>NEW YORK</t>
  </si>
  <si>
    <t>About Colgate-Palmolive:</t>
  </si>
  <si>
    <t>Model Version Details</t>
  </si>
  <si>
    <t>Version</t>
  </si>
  <si>
    <t>Last Edit Date</t>
  </si>
  <si>
    <t>Last Edit Time</t>
  </si>
  <si>
    <t>Remarks</t>
  </si>
  <si>
    <t>[A]</t>
  </si>
  <si>
    <t>Actuals</t>
  </si>
  <si>
    <t>[E]</t>
  </si>
  <si>
    <t>Estimates</t>
  </si>
  <si>
    <t>V1</t>
  </si>
  <si>
    <t>Prepared By</t>
  </si>
  <si>
    <t>Email ID</t>
  </si>
  <si>
    <t>Point Of Contact (POC)</t>
  </si>
  <si>
    <r>
      <t xml:space="preserve">Disclaimer: </t>
    </r>
    <r>
      <rPr>
        <sz val="11"/>
        <color rgb="FFFF0000"/>
        <rFont val="Calibri"/>
        <family val="2"/>
        <scheme val="minor"/>
      </rPr>
      <t>This financial model has been prepared solely for educational purpose and should not be utilized by the stakeholders for decision making purposes.</t>
    </r>
  </si>
  <si>
    <t>Headquarter</t>
  </si>
  <si>
    <t>Forecast</t>
  </si>
  <si>
    <t>Income Statement</t>
  </si>
  <si>
    <t>Revenue</t>
  </si>
  <si>
    <t xml:space="preserve">   Revenue Growth Rate %</t>
  </si>
  <si>
    <t xml:space="preserve">   PBT %</t>
  </si>
  <si>
    <t>Net Profit (NP)</t>
  </si>
  <si>
    <t xml:space="preserve">   Net Profit Margin %</t>
  </si>
  <si>
    <t>Historical</t>
  </si>
  <si>
    <t>Total Shareholders’ Equity</t>
  </si>
  <si>
    <t>Balance Sheet</t>
  </si>
  <si>
    <t>Total Current Assets</t>
  </si>
  <si>
    <t>Total Non-Current Assets</t>
  </si>
  <si>
    <t xml:space="preserve">   Total Current Liabilities</t>
  </si>
  <si>
    <t xml:space="preserve">   Total Non-Current Liabilities</t>
  </si>
  <si>
    <t>Cash Flow Statements</t>
  </si>
  <si>
    <t>Profitability Ratios</t>
  </si>
  <si>
    <t>Gross Profit Margin</t>
  </si>
  <si>
    <t>Operating Margin</t>
  </si>
  <si>
    <t>Net Profit Margin</t>
  </si>
  <si>
    <t>Return on Assets</t>
  </si>
  <si>
    <t>Efficiency Ratios</t>
  </si>
  <si>
    <t>Total Asset Turnover Ratio</t>
  </si>
  <si>
    <t>Accounts Receivable Ratio</t>
  </si>
  <si>
    <t>Accounts Payable Ratio</t>
  </si>
  <si>
    <t>Accounts Receivable Days</t>
  </si>
  <si>
    <t>Accounts Payable Days</t>
  </si>
  <si>
    <t>Liquidity Ratios</t>
  </si>
  <si>
    <t>Current Ratio</t>
  </si>
  <si>
    <t>Quick Ratio</t>
  </si>
  <si>
    <t>Solvency Ratios</t>
  </si>
  <si>
    <t>Debt to Total Assets</t>
  </si>
  <si>
    <t>Equity Multiplier</t>
  </si>
  <si>
    <t>Coverage Ratios</t>
  </si>
  <si>
    <t>Interest Coverage Ratio</t>
  </si>
  <si>
    <t>Cash Flow to Debt Ratio</t>
  </si>
  <si>
    <t>CFO to Operating Profit</t>
  </si>
  <si>
    <t>DuPont Analysis</t>
  </si>
  <si>
    <t>3 Way Approach</t>
  </si>
  <si>
    <t>5 Way Approach</t>
  </si>
  <si>
    <t>Return on Capital Employed</t>
  </si>
  <si>
    <t>Return on Equity</t>
  </si>
  <si>
    <t xml:space="preserve">Net Profit </t>
  </si>
  <si>
    <t>1. Net Profit Margin</t>
  </si>
  <si>
    <t>2. Asset Turnover</t>
  </si>
  <si>
    <t>3. Leverage Ratio (Equity Multiplier)</t>
  </si>
  <si>
    <t>1. Tax Burden</t>
  </si>
  <si>
    <t>2. Interest Burden</t>
  </si>
  <si>
    <t>3. EBIT Margin</t>
  </si>
  <si>
    <t>4. Asset Turnover</t>
  </si>
  <si>
    <t>5. Leverage Ratio (Equity Multiplier)</t>
  </si>
  <si>
    <t>Last Edited By</t>
  </si>
  <si>
    <t>[B]</t>
  </si>
  <si>
    <t>[C]</t>
  </si>
  <si>
    <t>[D]</t>
  </si>
  <si>
    <t>[F]</t>
  </si>
  <si>
    <t>Adjustments:</t>
  </si>
  <si>
    <t>Business Summary</t>
  </si>
  <si>
    <t>Segments</t>
  </si>
  <si>
    <t>name</t>
  </si>
  <si>
    <t>historical sales</t>
  </si>
  <si>
    <t>geography</t>
  </si>
  <si>
    <t>details</t>
  </si>
  <si>
    <t>share price</t>
  </si>
  <si>
    <t>trend</t>
  </si>
  <si>
    <t>market cap</t>
  </si>
  <si>
    <t>industry</t>
  </si>
  <si>
    <t>Oral, Personal and Home Care</t>
  </si>
  <si>
    <t>Pet Nutrition</t>
  </si>
  <si>
    <t>North America</t>
  </si>
  <si>
    <t>Latin America</t>
  </si>
  <si>
    <t>Europe</t>
  </si>
  <si>
    <t>Asia Pacific</t>
  </si>
  <si>
    <t>Africa/Eurasia</t>
  </si>
  <si>
    <t>Revenue Growth Rates %</t>
  </si>
  <si>
    <t>Total Net Revenue</t>
  </si>
  <si>
    <t>Operating Profit</t>
  </si>
  <si>
    <t>Operating Profit Margin %</t>
  </si>
  <si>
    <t>Corporate</t>
  </si>
  <si>
    <t>Total Operating Profit</t>
  </si>
  <si>
    <t>Total Operating Profit Margin</t>
  </si>
  <si>
    <t>Total Oral, Personal and Home Care</t>
  </si>
  <si>
    <t>Market Cap</t>
  </si>
  <si>
    <t>Enterprise Value</t>
  </si>
  <si>
    <t>Trailing P/E</t>
  </si>
  <si>
    <t>Forward P/E</t>
  </si>
  <si>
    <t>PEG Ratio (5yr expected)</t>
  </si>
  <si>
    <t>Price/Sales</t>
  </si>
  <si>
    <t>Price/Book</t>
  </si>
  <si>
    <t>Enterprise Value/Revenue</t>
  </si>
  <si>
    <t>Enterprise Value/EBITDA</t>
  </si>
  <si>
    <t>12/31/2023</t>
  </si>
  <si>
    <t>-</t>
  </si>
  <si>
    <t>Valuation Measures ($)</t>
  </si>
  <si>
    <t>Beta (5Y Monthly)</t>
  </si>
  <si>
    <t>52 Week Range</t>
  </si>
  <si>
    <t>S&amp;P 500 52-Week Change</t>
  </si>
  <si>
    <t>52 Week High</t>
  </si>
  <si>
    <t>52 Week Low</t>
  </si>
  <si>
    <t>50-Day Moving Average</t>
  </si>
  <si>
    <t>200-Day Moving Average</t>
  </si>
  <si>
    <t>Trading Information ($)</t>
  </si>
  <si>
    <t>Peer Benchmark</t>
  </si>
  <si>
    <t>The Colorox Co.</t>
  </si>
  <si>
    <t>PG</t>
  </si>
  <si>
    <t>KMB</t>
  </si>
  <si>
    <t>CLX</t>
  </si>
  <si>
    <t>Colgate-Palmolive Co.</t>
  </si>
  <si>
    <t>Procter and Gamble Co.</t>
  </si>
  <si>
    <t>Kimberly-Clark Corp.</t>
  </si>
  <si>
    <t>Market Value ($B)</t>
  </si>
  <si>
    <t>PE Ratio</t>
  </si>
  <si>
    <t>Price to Sales</t>
  </si>
  <si>
    <t>EV/EBITDA</t>
  </si>
  <si>
    <t>Revenue ($B)</t>
  </si>
  <si>
    <t>Enterprise Value ($B)</t>
  </si>
  <si>
    <t>Gross Profit ($B)</t>
  </si>
  <si>
    <t>Gross Margin %</t>
  </si>
  <si>
    <t>GPC Benchmark*</t>
  </si>
  <si>
    <t>*As of June 14, 2024</t>
  </si>
  <si>
    <t>Company Name</t>
  </si>
  <si>
    <t>2. Sourced from Yahoo Finance.</t>
  </si>
  <si>
    <t>Edits required</t>
  </si>
  <si>
    <t>Print page setup</t>
  </si>
  <si>
    <t>simplify index and business summary</t>
  </si>
  <si>
    <t>Check freeze panes</t>
  </si>
  <si>
    <t>add checks flowing to cover page</t>
  </si>
  <si>
    <t>use lightest red instead of green</t>
  </si>
  <si>
    <t>plug in industry facts in business summary</t>
  </si>
  <si>
    <t>add links for 10Ks and investory presentations 2024</t>
  </si>
  <si>
    <t>Case</t>
  </si>
  <si>
    <t>Scenario</t>
  </si>
  <si>
    <t>Base Case</t>
  </si>
  <si>
    <t>Optimistic</t>
  </si>
  <si>
    <t>Case 1</t>
  </si>
  <si>
    <t>Case 2</t>
  </si>
  <si>
    <t>YoY Growth %</t>
  </si>
  <si>
    <t>Selected Case</t>
  </si>
  <si>
    <t>Checks</t>
  </si>
  <si>
    <t>Expense</t>
  </si>
  <si>
    <t>% of Revenue</t>
  </si>
  <si>
    <t>From debt schedule</t>
  </si>
  <si>
    <t>Effective Tax Rate</t>
  </si>
  <si>
    <t>Working Capital</t>
  </si>
  <si>
    <t>DSO</t>
  </si>
  <si>
    <t>DIO</t>
  </si>
  <si>
    <t>Fixed Asset Schedule</t>
  </si>
  <si>
    <t xml:space="preserve">Land </t>
  </si>
  <si>
    <t>Buildings</t>
  </si>
  <si>
    <t>Gross PP&amp;E</t>
  </si>
  <si>
    <t>Accumulated Depreciation</t>
  </si>
  <si>
    <t>Net PP&amp;E</t>
  </si>
  <si>
    <t>CapEx</t>
  </si>
  <si>
    <t>Fixed Asset Turnover Ratio</t>
  </si>
  <si>
    <t>Depreciation</t>
  </si>
  <si>
    <t>Intangible Asset Schedule</t>
  </si>
  <si>
    <t>Trademark</t>
  </si>
  <si>
    <t>Gross Value</t>
  </si>
  <si>
    <t>Net Value</t>
  </si>
  <si>
    <t>Accumulated Amortization</t>
  </si>
  <si>
    <t>assumed constant from 2023 onwards</t>
  </si>
  <si>
    <t>Assume constant from 2023 onwards considering no acq,restructuring</t>
  </si>
  <si>
    <t>This one is not subject to amortization, assume constant from 2023 considering no impairment in future</t>
  </si>
  <si>
    <t>assume constant due to no future impairment</t>
  </si>
  <si>
    <t>[G]</t>
  </si>
  <si>
    <t>[I]</t>
  </si>
  <si>
    <t>assumed as zero</t>
  </si>
  <si>
    <t>These are marketable securities which is ignored by the Co. for  working capital</t>
  </si>
  <si>
    <t>debt schedule, this will be prepared post reflecting equity transactions</t>
  </si>
  <si>
    <t>2. Non-Current Liabilities:</t>
  </si>
  <si>
    <t>From equity schedule</t>
  </si>
  <si>
    <t>From CFS, this figure will change</t>
  </si>
  <si>
    <t>These figures will change</t>
  </si>
  <si>
    <t>DPO</t>
  </si>
  <si>
    <t>This figure will change due to interest expense,check flow in other tabs</t>
  </si>
  <si>
    <t>V2</t>
  </si>
  <si>
    <t>DCF,equity and debt is pending</t>
  </si>
  <si>
    <t>Avg</t>
  </si>
  <si>
    <t>Revenue Analysis:</t>
  </si>
  <si>
    <t>Improvement post decline</t>
  </si>
  <si>
    <t>Stable post decline</t>
  </si>
  <si>
    <t>Sharp decline</t>
  </si>
  <si>
    <t>Historically (2019-2023), the operating profit margin witnessed:</t>
  </si>
  <si>
    <t>Guideline Public Companies for Colgate are:</t>
  </si>
  <si>
    <t>Four Strategic Pillars</t>
  </si>
  <si>
    <t>Enablers</t>
  </si>
  <si>
    <t>Driving science-led, core and premium innovation, pursuing adjacent categories and high-growth segments and expanding in faster-growing channels and markets.</t>
  </si>
  <si>
    <t>Upskilling the employees and using data to improve targeting and conversion moments to drive higher ROI, revenue growth management, accelerating digital capabilities, driving progress with AI</t>
  </si>
  <si>
    <t>Focus on driving social and impact, helping millions of homes through bright smile project and preserving the environment by achieving net zero carbon emission.</t>
  </si>
  <si>
    <t>1. Driving organic sales growth</t>
  </si>
  <si>
    <t>2. Maximizing productivity and efficiencies to fund advertising and drive margin expansion</t>
  </si>
  <si>
    <t>3. Scaling capabilities across the organization</t>
  </si>
  <si>
    <t>4. Reimagining a healthier, more sustainable future for all</t>
  </si>
  <si>
    <t>Current**</t>
  </si>
  <si>
    <t>Current **</t>
  </si>
  <si>
    <t>Gross Profit</t>
  </si>
  <si>
    <t xml:space="preserve">   Gross Profit Margin %</t>
  </si>
  <si>
    <t xml:space="preserve">   Operating Profit Margin %</t>
  </si>
  <si>
    <t>Profit Before Taxes (PBT)</t>
  </si>
  <si>
    <t>Earnings Per Common Share, Basic</t>
  </si>
  <si>
    <t>Earnings Per Common Share, diluted</t>
  </si>
  <si>
    <t>Net Cash Provided By Operations</t>
  </si>
  <si>
    <t/>
  </si>
  <si>
    <t>Income Taxes Paid</t>
  </si>
  <si>
    <t>Interest Paid</t>
  </si>
  <si>
    <t>Net Cash Used in Investing Activities</t>
  </si>
  <si>
    <t>Net Cash Used in Financing Activities</t>
  </si>
  <si>
    <t>Effect Of Exchange Rate Changes on Cash and Cash Equivalents</t>
  </si>
  <si>
    <t>Net Increase (Decrease) in Cash And Cash Equivalents</t>
  </si>
  <si>
    <t>Cash and Cash Equivalents at Beginning of Year</t>
  </si>
  <si>
    <t>Cash and Cash Equivalents at End of Year</t>
  </si>
  <si>
    <t>Net Sales (Revenue)</t>
  </si>
  <si>
    <t>Other (Income) Expense, Net</t>
  </si>
  <si>
    <t>Non-Service Related Postretirement Costs</t>
  </si>
  <si>
    <t>Interest (Income) Expense, Net</t>
  </si>
  <si>
    <t>Net Income Including Noncontrolling Interests</t>
  </si>
  <si>
    <t>Earnings Per Common Share, Diluted</t>
  </si>
  <si>
    <t>Cost of Sales</t>
  </si>
  <si>
    <t>Selling, General and Administrative Expenses</t>
  </si>
  <si>
    <t>Goodwill and Intangible Assets Impairment Charges</t>
  </si>
  <si>
    <t>Provision for Income Taxes</t>
  </si>
  <si>
    <t>Less: Net Income Attributable to Noncontrolling Interests</t>
  </si>
  <si>
    <t>Net Income Attributable to Colgate-Palmolive Company (NP)</t>
  </si>
  <si>
    <t>Income Before Income Taxes (PBT)</t>
  </si>
  <si>
    <t>Cash And Cash Equivalents</t>
  </si>
  <si>
    <t>Receivables (Net Of Allowances Of $76, $89, $78, $80  And $70 , Respectively)</t>
  </si>
  <si>
    <t>Other Current Assets</t>
  </si>
  <si>
    <t>Property, Plant And Equipment, Net</t>
  </si>
  <si>
    <t>Other Intangible Assets, Net</t>
  </si>
  <si>
    <t>Deferred Income Taxes</t>
  </si>
  <si>
    <t>Other Assets</t>
  </si>
  <si>
    <t>Notes And Loans Payable</t>
  </si>
  <si>
    <t>Current Portion Of Long-Term Debt</t>
  </si>
  <si>
    <t>Accounts Payable</t>
  </si>
  <si>
    <t>Accrued Income Taxes</t>
  </si>
  <si>
    <t>Other Accruals</t>
  </si>
  <si>
    <t>Long-Term Debt</t>
  </si>
  <si>
    <t>Other Liabilities</t>
  </si>
  <si>
    <t>Common Stock, $ 1  Par Value ( 2,000,000,000  Shares Authorized,  1,465,706,360  Shares Issued)</t>
  </si>
  <si>
    <t>Additional Paid-In Capital</t>
  </si>
  <si>
    <t>Retained Earnings</t>
  </si>
  <si>
    <t>Accumulated Other Comprehensive Income (Loss)</t>
  </si>
  <si>
    <t>Unearned Compensation</t>
  </si>
  <si>
    <t>Total Colgate-Palmolive Company Shareholders’ Equity</t>
  </si>
  <si>
    <t>Erisa Litigation Matter</t>
  </si>
  <si>
    <t>Stock-Based Compensation Expense</t>
  </si>
  <si>
    <t>Voluntary Benefit Plan Contributions</t>
  </si>
  <si>
    <t>Capital Expenditures</t>
  </si>
  <si>
    <t>Other Investing Activities</t>
  </si>
  <si>
    <t>Short-Term Borrowing (Repayment) Less Than 90 Days, Net</t>
  </si>
  <si>
    <t>Dividends Paid</t>
  </si>
  <si>
    <t>Other Financing Activities</t>
  </si>
  <si>
    <t>Net Income including Noncontrolling Interests</t>
  </si>
  <si>
    <t>Adjustments to Reconcile Net Income Including Noncontrolling Interests to Net Cash Provided by Operations:</t>
  </si>
  <si>
    <t>Depreciation and Amortization</t>
  </si>
  <si>
    <t>Restructuring and Termination Benefits, Net of Cash</t>
  </si>
  <si>
    <t>Gain on the Sale of Land</t>
  </si>
  <si>
    <t>Loss on Early Extinguishment of Debt</t>
  </si>
  <si>
    <t>Cash Effects of Changes in:</t>
  </si>
  <si>
    <t>Accounts Payable and Other Accruals</t>
  </si>
  <si>
    <t>Other Non-Current Assets and Liabilities</t>
  </si>
  <si>
    <t>Net Cash Provided by Operations</t>
  </si>
  <si>
    <t>Purchases of Marketable Securities and Investments</t>
  </si>
  <si>
    <t>Proceeds from Sale of Marketable Securities and Investments</t>
  </si>
  <si>
    <t>Payment for Acquisitions, Net of Cash Acquired</t>
  </si>
  <si>
    <t>Proceeds from the Sale of Land</t>
  </si>
  <si>
    <t xml:space="preserve">Principal Payments on Debt </t>
  </si>
  <si>
    <t>Proceeds from Issuance of Debt</t>
  </si>
  <si>
    <t>Purchases of Treasury Shares</t>
  </si>
  <si>
    <t>Proceeds from Exercise of Stock Options</t>
  </si>
  <si>
    <t>Purchases of Non-Controlling Interests in Subsidiaries</t>
  </si>
  <si>
    <t>Effect of Exchange Rate Changes on Cash and Cash Equivalents</t>
  </si>
  <si>
    <t>Net Increase (Decrease) in Cash and Cash Equivalents</t>
  </si>
  <si>
    <t>Other Equipment</t>
  </si>
  <si>
    <t>Other Finite Life Intangible Assets</t>
  </si>
  <si>
    <t>Indefinite Life Intangible Assets</t>
  </si>
  <si>
    <t>Cost of Sales, CoS</t>
  </si>
  <si>
    <t>Manufacturing Machinery and Equipment</t>
  </si>
  <si>
    <t>Amortization for the Year</t>
  </si>
  <si>
    <t xml:space="preserve"> % of Net Income before Non-Controlling  Interest</t>
  </si>
  <si>
    <t>Constant at 2023 %</t>
  </si>
  <si>
    <t>can be kept as constant</t>
  </si>
  <si>
    <t xml:space="preserve"> </t>
  </si>
  <si>
    <r>
      <t xml:space="preserve">FY 2024 Growth Pillars </t>
    </r>
    <r>
      <rPr>
        <b/>
        <u val="singleAccounting"/>
        <sz val="12"/>
        <color rgb="FFFF0000"/>
        <rFont val="Calibri"/>
        <family val="2"/>
        <scheme val="minor"/>
      </rPr>
      <t>*</t>
    </r>
  </si>
  <si>
    <r>
      <rPr>
        <b/>
        <sz val="12"/>
        <color rgb="FF000000"/>
        <rFont val="Calibri"/>
        <family val="2"/>
        <scheme val="minor"/>
      </rPr>
      <t xml:space="preserve">1. </t>
    </r>
    <r>
      <rPr>
        <sz val="12"/>
        <color rgb="FF000000"/>
        <rFont val="Calibri"/>
        <family val="2"/>
        <scheme val="minor"/>
      </rPr>
      <t>The Company is exposed to price volatility related to raw materials used in production, such as resins, essential oils, tropical oils, pulp, tallow, corn, poultry and soybeans.</t>
    </r>
  </si>
  <si>
    <r>
      <rPr>
        <b/>
        <sz val="12"/>
        <color rgb="FF000000"/>
        <rFont val="Calibri"/>
        <family val="2"/>
        <scheme val="minor"/>
      </rPr>
      <t>3.</t>
    </r>
    <r>
      <rPr>
        <sz val="12"/>
        <color rgb="FF000000"/>
        <rFont val="Calibri"/>
        <family val="2"/>
        <scheme val="minor"/>
      </rPr>
      <t xml:space="preserve"> Imposition of new or increased tariffs by the United States and China, and any nationalist trends in specific countries could alter the trade environment and consumer purchasing behaviour</t>
    </r>
  </si>
  <si>
    <r>
      <rPr>
        <b/>
        <sz val="12"/>
        <color rgb="FF000000"/>
        <rFont val="Calibri"/>
        <family val="2"/>
        <scheme val="minor"/>
      </rPr>
      <t>4.</t>
    </r>
    <r>
      <rPr>
        <sz val="12"/>
        <color rgb="FF000000"/>
        <rFont val="Calibri"/>
        <family val="2"/>
        <scheme val="minor"/>
      </rPr>
      <t> Increasing dependence on key retailers in developed markets, changes in the policies of retail trade customers, the emergence of alternative retail channels and the rapidly changing retail landscape and changing consumer preferences may adversely affect the business.</t>
    </r>
  </si>
  <si>
    <r>
      <t>GPC Benchmark</t>
    </r>
    <r>
      <rPr>
        <b/>
        <u val="singleAccounting"/>
        <sz val="12"/>
        <color rgb="FFFF0000"/>
        <rFont val="Calibri"/>
        <family val="2"/>
        <scheme val="minor"/>
      </rPr>
      <t>**</t>
    </r>
  </si>
  <si>
    <t>Revenue Split between Reportable Segments:</t>
  </si>
  <si>
    <t xml:space="preserve">During FY 2023, the Company's operating profit margin for the two product segments as: 
                                     (1) Oral, Personal and Home Care - 25.6%; and
                                     (2) Pet Nutrition - 18.8% .
This 25.6% operating profit margin pertains to the 5 reportable operating segments as:
                                     (1) North America - 22.7%;
                                     (2) Latin America - 30.5%;
                                     (3) Europe - 20.2%;
                                     (4) Asia Pacific - 27.6%; and 
                                     (5) Africa/Eurasia - 23.5%.
</t>
  </si>
  <si>
    <t>Treasury Stock (at cost)</t>
  </si>
  <si>
    <t>Treasury Stock, at cost</t>
  </si>
  <si>
    <t>Opening Balance</t>
  </si>
  <si>
    <t>Issuances/(Repurchases)</t>
  </si>
  <si>
    <t>Dividend Payments</t>
  </si>
  <si>
    <t>Options</t>
  </si>
  <si>
    <t>Closing Balance</t>
  </si>
  <si>
    <t>EPS (diluted)</t>
  </si>
  <si>
    <t>Share Price</t>
  </si>
  <si>
    <t>Shares Repurchases (# in mn)</t>
  </si>
  <si>
    <t>Shares Repurchased ($)</t>
  </si>
  <si>
    <t>Dividend</t>
  </si>
  <si>
    <t>Dividend Payout Ratio</t>
  </si>
  <si>
    <t>Assume constant at 2023 value</t>
  </si>
  <si>
    <t>Exercise Price</t>
  </si>
  <si>
    <t># of Option Exercised</t>
  </si>
  <si>
    <t>Options Proceeds</t>
  </si>
  <si>
    <t>Equity</t>
  </si>
  <si>
    <t>APIC</t>
  </si>
  <si>
    <t>Accumulated other comprehensive income (loss)</t>
  </si>
  <si>
    <t>Unearned compensation</t>
  </si>
  <si>
    <t>Treasury stock</t>
  </si>
  <si>
    <t>Total Colgate-Palmolive Company shareholders’ equity</t>
  </si>
  <si>
    <t>Noncontrolling interests</t>
  </si>
  <si>
    <t xml:space="preserve">Dividend </t>
  </si>
  <si>
    <t>constant</t>
  </si>
  <si>
    <t>op+proceeds from options exercised</t>
  </si>
  <si>
    <t>op+retained earning for the year</t>
  </si>
  <si>
    <t>Retained Earnings for the Year</t>
  </si>
  <si>
    <t>EPS Multiple/PE Ratio</t>
  </si>
  <si>
    <t>Basic Shares</t>
  </si>
  <si>
    <t>+Options Exercised</t>
  </si>
  <si>
    <t>-Shares Repurchases</t>
  </si>
  <si>
    <t>Stock Options and Restricted Stock Units</t>
  </si>
  <si>
    <t>Diluted Shares</t>
  </si>
  <si>
    <t>Net Cash Generated/(Used)- Operating Activities</t>
  </si>
  <si>
    <t>Net Cash Generated/(Used)- Investing Activities</t>
  </si>
  <si>
    <t>Cash Payment for Debt</t>
  </si>
  <si>
    <t>Cash Available after Mandatory Debt Payment</t>
  </si>
  <si>
    <t>Min Cash Balance to be Maintained</t>
  </si>
  <si>
    <t>Cash Surplus/(Deficit)</t>
  </si>
  <si>
    <t>Revolver</t>
  </si>
  <si>
    <t>+Drawings</t>
  </si>
  <si>
    <t>-Payout</t>
  </si>
  <si>
    <t>Interest On Long Term Loan Debt</t>
  </si>
  <si>
    <t>Interest Income</t>
  </si>
  <si>
    <t>Total Interest (income) expense, net</t>
  </si>
  <si>
    <t>CFS</t>
  </si>
  <si>
    <t>IS</t>
  </si>
  <si>
    <t>avg</t>
  </si>
  <si>
    <t>% of CoS</t>
  </si>
  <si>
    <t>Change in DTA and DTL</t>
  </si>
  <si>
    <t>Opening Cash</t>
  </si>
  <si>
    <t>Fx</t>
  </si>
  <si>
    <t>Closing Cash Balance</t>
  </si>
  <si>
    <t>Debt</t>
  </si>
  <si>
    <t>Principal repayment</t>
  </si>
  <si>
    <t>-Principal Repayment</t>
  </si>
  <si>
    <t>-Revolver Payout</t>
  </si>
  <si>
    <t>Closing Debt</t>
  </si>
  <si>
    <t>Deferred Income Tax Asset</t>
  </si>
  <si>
    <t>Provision for Income Taxes,Taxes</t>
  </si>
  <si>
    <t>Deferred Income Taxes (Asset),DTA</t>
  </si>
  <si>
    <t>DTA as % of Taxes</t>
  </si>
  <si>
    <t>Deferred Income Tax Liability</t>
  </si>
  <si>
    <t>Deferred Income Taxes (Liability),DTL</t>
  </si>
  <si>
    <t>DTL as % of Taxes</t>
  </si>
  <si>
    <t>Accrued Income Tax as % of Taxes</t>
  </si>
  <si>
    <t>Variables</t>
  </si>
  <si>
    <t>β</t>
  </si>
  <si>
    <t>Rf</t>
  </si>
  <si>
    <t>Risk Free Rate</t>
  </si>
  <si>
    <t>α</t>
  </si>
  <si>
    <t>Company Specific Risk Premium</t>
  </si>
  <si>
    <t>Rc</t>
  </si>
  <si>
    <t xml:space="preserve">Country Specific Risk Premium </t>
  </si>
  <si>
    <t>Rs</t>
  </si>
  <si>
    <t>Small Company Risk Premium</t>
  </si>
  <si>
    <t>Dpt</t>
  </si>
  <si>
    <t>Pretax Cost of Debt</t>
  </si>
  <si>
    <t>T</t>
  </si>
  <si>
    <t>Estimated Tax Rate</t>
  </si>
  <si>
    <t>We</t>
  </si>
  <si>
    <t>Percentage of Equity</t>
  </si>
  <si>
    <t>Wd</t>
  </si>
  <si>
    <t>Percentage of Debt</t>
  </si>
  <si>
    <t>Ke</t>
  </si>
  <si>
    <t>Cost of Equity</t>
  </si>
  <si>
    <t>[(Rmp x β) + Rf + Rs + Rc +α ]</t>
  </si>
  <si>
    <t>Kd</t>
  </si>
  <si>
    <t>After-Tax Cost of Debt</t>
  </si>
  <si>
    <t>[Dpt x (1 - T)]</t>
  </si>
  <si>
    <t>Weighted Average Cost of Capital (Rounded)</t>
  </si>
  <si>
    <t>[(We x Ke) + (Wd x Kd)]</t>
  </si>
  <si>
    <t>First Forecast Year</t>
  </si>
  <si>
    <t>31/12/2024</t>
  </si>
  <si>
    <t>LTGR</t>
  </si>
  <si>
    <t>EBITDA</t>
  </si>
  <si>
    <t>Less- D&amp;A</t>
  </si>
  <si>
    <t>EBIT</t>
  </si>
  <si>
    <t>Less- Taxes</t>
  </si>
  <si>
    <t>Tax-adjusted EBIT</t>
  </si>
  <si>
    <t>Plus- D&amp;A</t>
  </si>
  <si>
    <t>Less: Increase in Working Capital</t>
  </si>
  <si>
    <t>Less: Capital Expenditures</t>
  </si>
  <si>
    <t>Less: Acquisition of intangibles</t>
  </si>
  <si>
    <t>1051 and 160 relates to intangibles acquired due to M&amp;A activity.</t>
  </si>
  <si>
    <t>Less: Change in Other Assets &amp; Liabilities</t>
  </si>
  <si>
    <t xml:space="preserve">Here we are reducing value of acquired intangibles since it is already counted in "Payment for Acquisitions, Net of Cash Acquired". </t>
  </si>
  <si>
    <t xml:space="preserve">  Growth</t>
  </si>
  <si>
    <t>Period</t>
  </si>
  <si>
    <t>Mid Year</t>
  </si>
  <si>
    <t>Discount Periods</t>
  </si>
  <si>
    <t>Present Value Factor</t>
  </si>
  <si>
    <t>Present Value of Cash Flows</t>
  </si>
  <si>
    <t>Sum of Present Value of Cash Flows</t>
  </si>
  <si>
    <t>Terminal Value Calculation</t>
  </si>
  <si>
    <t>Terminal Value</t>
  </si>
  <si>
    <t>Implied Enterprise Value</t>
  </si>
  <si>
    <t>Discount Rate (k)</t>
  </si>
  <si>
    <t>Growth (g)</t>
  </si>
  <si>
    <t>Capitalization Rate (k-g)</t>
  </si>
  <si>
    <t>Terminal Year FCF</t>
  </si>
  <si>
    <t>Discount Period</t>
  </si>
  <si>
    <t>Acquisition of intangibles</t>
  </si>
  <si>
    <t>Beta</t>
  </si>
  <si>
    <t>Date</t>
  </si>
  <si>
    <t>1 Mo</t>
  </si>
  <si>
    <t>2 Mo</t>
  </si>
  <si>
    <t>3 Mo</t>
  </si>
  <si>
    <t>4 Mo</t>
  </si>
  <si>
    <t>6 Mo</t>
  </si>
  <si>
    <t>1 Yr</t>
  </si>
  <si>
    <t>2 Yr</t>
  </si>
  <si>
    <t>3 Yr</t>
  </si>
  <si>
    <t>5 Yr</t>
  </si>
  <si>
    <t>7 Yr</t>
  </si>
  <si>
    <t>10 Yr</t>
  </si>
  <si>
    <t>20 Yr</t>
  </si>
  <si>
    <t>30 Yr</t>
  </si>
  <si>
    <t>Colgate</t>
  </si>
  <si>
    <t>S&amp;P</t>
  </si>
  <si>
    <t>Method 1 - Beta Calculation</t>
  </si>
  <si>
    <t>Standard Deviation</t>
  </si>
  <si>
    <t>Correlation</t>
  </si>
  <si>
    <t xml:space="preserve">Using Beta=Correlation*Std(BA)/Std(S&amp;P500) </t>
  </si>
  <si>
    <t>Method 2 - Beta Calculation</t>
  </si>
  <si>
    <t>assumed</t>
  </si>
  <si>
    <t>Close</t>
  </si>
  <si>
    <t>Return %</t>
  </si>
  <si>
    <t>Rm</t>
  </si>
  <si>
    <t>Market Return</t>
  </si>
  <si>
    <t>Gordon Growth Method</t>
  </si>
  <si>
    <t>Exit Multiple Method</t>
  </si>
  <si>
    <t>EBITDA Exit Multiple</t>
  </si>
  <si>
    <t>Present Value of Terminal Value</t>
  </si>
  <si>
    <t>-Debt</t>
  </si>
  <si>
    <t>-Minority Interest</t>
  </si>
  <si>
    <t>+Cash</t>
  </si>
  <si>
    <t>Equity Value</t>
  </si>
  <si>
    <t>Diluted Shares Outstanding</t>
  </si>
  <si>
    <t>Price per share</t>
  </si>
  <si>
    <t>Exit Multiple</t>
  </si>
  <si>
    <t>WACC</t>
  </si>
  <si>
    <t>https://finance.yahoo.com/quote/PG/key-statistics/</t>
  </si>
  <si>
    <t>https://finance.yahoo.com/quote/KMB/key-statistics/</t>
  </si>
  <si>
    <t>https://finance.yahoo.com/quote/CLX/key-statistics/</t>
  </si>
  <si>
    <t>P&amp;G as of 10/8/2024</t>
  </si>
  <si>
    <t>KMB as of 10/8/2024</t>
  </si>
  <si>
    <t>CLX as of 10/8/2024</t>
  </si>
  <si>
    <t>Market Cap ($ in B)</t>
  </si>
  <si>
    <t>Max</t>
  </si>
  <si>
    <t>Min</t>
  </si>
  <si>
    <t>Average</t>
  </si>
  <si>
    <t>Median</t>
  </si>
  <si>
    <t>N/A</t>
  </si>
  <si>
    <t>Notes</t>
  </si>
  <si>
    <t>Financial Metric</t>
  </si>
  <si>
    <t>Trading Multiples</t>
  </si>
  <si>
    <t>Weight</t>
  </si>
  <si>
    <t>2024 EBITDA</t>
  </si>
  <si>
    <t>Current Assets</t>
  </si>
  <si>
    <t>Current Liabilities</t>
  </si>
  <si>
    <t>Methodology</t>
  </si>
  <si>
    <t>Weightage</t>
  </si>
  <si>
    <t>Income Approach: Discounted Cash Flows</t>
  </si>
  <si>
    <t>Gordon Growth</t>
  </si>
  <si>
    <t>Market Approach</t>
  </si>
  <si>
    <t>Cost Approach: NAV Method</t>
  </si>
  <si>
    <t>Enterprise Value - Rounded</t>
  </si>
  <si>
    <t>Add: Cash</t>
  </si>
  <si>
    <t>Less: Debt</t>
  </si>
  <si>
    <t>Equity Value - Rounded</t>
  </si>
  <si>
    <t>Valuation High - Low Toggle</t>
  </si>
  <si>
    <t>Valuation</t>
  </si>
  <si>
    <t>Valuation - High</t>
  </si>
  <si>
    <t>Valuation - Low</t>
  </si>
  <si>
    <t>Difference</t>
  </si>
  <si>
    <t>DCF - Gordon Growth</t>
  </si>
  <si>
    <t>Cost Approach</t>
  </si>
  <si>
    <t>GPC - 2024 EBITDA</t>
  </si>
  <si>
    <t>Interest (income) expense</t>
  </si>
  <si>
    <t>Cash Schedule</t>
  </si>
  <si>
    <t>Debt Schedule</t>
  </si>
  <si>
    <t>10.69 outstanding RSUs to be issued in a span of 3 years (10K 2023)</t>
  </si>
  <si>
    <t>[C.1]</t>
  </si>
  <si>
    <t>[C.2]</t>
  </si>
  <si>
    <t>Assumptions</t>
  </si>
  <si>
    <t>Date of Valuation</t>
  </si>
  <si>
    <t xml:space="preserve">Tax Rate </t>
  </si>
  <si>
    <t>Terminal Growth Rate</t>
  </si>
  <si>
    <t xml:space="preserve">Movement of the Sensitivity Table </t>
  </si>
  <si>
    <t>14/06/2024</t>
  </si>
  <si>
    <t>Inputs</t>
  </si>
  <si>
    <t>Source</t>
  </si>
  <si>
    <t xml:space="preserve">1. S&amp;P 500 </t>
  </si>
  <si>
    <t>2. Colgate Palmolive Co</t>
  </si>
  <si>
    <r>
      <rPr>
        <b/>
        <sz val="11"/>
        <color theme="1"/>
        <rFont val="Calibri"/>
        <family val="2"/>
        <scheme val="minor"/>
      </rPr>
      <t>Note:</t>
    </r>
    <r>
      <rPr>
        <sz val="11"/>
        <color theme="1"/>
        <rFont val="Calibri"/>
        <family val="2"/>
        <scheme val="minor"/>
      </rPr>
      <t xml:space="preserve"> Close Price is adjusted for stock splits and dividends</t>
    </r>
  </si>
  <si>
    <r>
      <rPr>
        <b/>
        <sz val="11"/>
        <color theme="1"/>
        <rFont val="Calibri"/>
        <family val="2"/>
        <scheme val="minor"/>
      </rPr>
      <t>Source:</t>
    </r>
    <r>
      <rPr>
        <sz val="11"/>
        <color theme="1"/>
        <rFont val="Calibri"/>
        <family val="2"/>
        <scheme val="minor"/>
      </rPr>
      <t xml:space="preserve"> Yahoo Finance</t>
    </r>
  </si>
  <si>
    <t>Fair Value</t>
  </si>
  <si>
    <t>Non-Current Assets</t>
  </si>
  <si>
    <t>Non-Current Liabilities</t>
  </si>
  <si>
    <t>Total</t>
  </si>
  <si>
    <t xml:space="preserve">Receivables </t>
  </si>
  <si>
    <t>Net Asset Value (NAV)</t>
  </si>
  <si>
    <t>[a]</t>
  </si>
  <si>
    <t>We have taken fair values as of 31-12-2024.</t>
  </si>
  <si>
    <t>(i)</t>
  </si>
  <si>
    <t xml:space="preserve">[b] </t>
  </si>
  <si>
    <t xml:space="preserve">The EBITDA multiple is selected at the maximum of the range established by the guideline companies based on the following factors:  </t>
  </si>
  <si>
    <t>(ii)</t>
  </si>
  <si>
    <t>(iii)</t>
  </si>
  <si>
    <t>Market Capitalization</t>
  </si>
  <si>
    <t>Revenue Growth Rate</t>
  </si>
  <si>
    <t>Operating Profit Margin</t>
  </si>
  <si>
    <t>Revenue Growth (%)</t>
  </si>
  <si>
    <t>Operating Margin (%)</t>
  </si>
  <si>
    <t xml:space="preserve">Size - Growth </t>
  </si>
  <si>
    <t>Profitability : Colgate's projected EBITDA margin is above maximum of guideline companies, implying a higher multiple.</t>
  </si>
  <si>
    <t>Size : Colgate's 2024 projected market capitalization is closer to median of guideline company range, implying a lower multiple;</t>
  </si>
  <si>
    <t>Working Note:</t>
  </si>
  <si>
    <t>Concluded 
Enterprise Value</t>
  </si>
  <si>
    <t>Indicated 
Enterprise Value</t>
  </si>
  <si>
    <t>Guideline Public Companies</t>
  </si>
  <si>
    <t>Size - Profitability</t>
  </si>
  <si>
    <t>Size</t>
  </si>
  <si>
    <t xml:space="preserve">Enterprise Value (EV)  ($ in B)
 </t>
  </si>
  <si>
    <t>Growth : Colgate's projected revenue growth is above maximum of guideline companies, implying a higher multiple; and</t>
  </si>
  <si>
    <t>Valuation Comps:</t>
  </si>
  <si>
    <t xml:space="preserve">[a] </t>
  </si>
  <si>
    <t>Selected multiples are applied to Colgate's 2024 EBITDA as it considered to be normalized indicator of performance for the Company.</t>
  </si>
  <si>
    <t>Implied EBITDA Multiple- EV/2024 EBITDA</t>
  </si>
  <si>
    <t>Reflects 80%: 20% weighting of the Discounted Cash Flow Method, Guideline Public Comparables Method.</t>
  </si>
  <si>
    <t>Public Comparables: 2024 EBITDA</t>
  </si>
  <si>
    <t>Unlevered Free Cash Flow To Firm (FCFF)</t>
  </si>
  <si>
    <t>Colgate Palmolive Co.</t>
  </si>
  <si>
    <t>Screenshots are available in tab---&gt;working</t>
  </si>
  <si>
    <t>Trend in Revenue and Profit Margins</t>
  </si>
  <si>
    <t>Gross Profit Margin (%)</t>
  </si>
  <si>
    <t>Operating Profit Margin (%)</t>
  </si>
  <si>
    <t>Net Profit Margin (%)</t>
  </si>
  <si>
    <t>V3</t>
  </si>
  <si>
    <t>V4</t>
  </si>
  <si>
    <t>Debt and Equity added</t>
  </si>
  <si>
    <t>Three statement model prepped</t>
  </si>
  <si>
    <t>Driving operating leverage due to cost efficiencies achieved through reduction in overheads.</t>
  </si>
  <si>
    <t>Equity Roll forward</t>
  </si>
  <si>
    <t>US Department of The Treasury</t>
  </si>
  <si>
    <t xml:space="preserve">Unusually high share price drove equity as a negative number. Adj of 20 is done in calculated share price to lower the impact </t>
  </si>
  <si>
    <t>COLGATE-PALMOLIVE COMPANY</t>
  </si>
  <si>
    <t>For the years ended December 31,</t>
  </si>
  <si>
    <t>(All values in USD Millions, unless stated otherwise)</t>
  </si>
  <si>
    <t>$74.2 Billion</t>
  </si>
  <si>
    <t>Share price as of year end 29-12-2024</t>
  </si>
  <si>
    <t>Yana Mir</t>
  </si>
  <si>
    <t>YM</t>
  </si>
  <si>
    <t>careers.cv101@gmail.com</t>
  </si>
  <si>
    <t>1. Sourced from FY 2024 10K filed by the Company.</t>
  </si>
  <si>
    <r>
      <rPr>
        <b/>
        <sz val="12"/>
        <color rgb="FF000000"/>
        <rFont val="Calibri"/>
        <family val="2"/>
        <scheme val="minor"/>
      </rPr>
      <t>Global Productivity Initiative</t>
    </r>
    <r>
      <rPr>
        <sz val="12"/>
        <color rgb="FF000000"/>
        <rFont val="Calibri"/>
        <family val="2"/>
        <scheme val="minor"/>
      </rPr>
      <t xml:space="preserve"> was adopted in 2022, intended to reallocate resources towards the Company’s strategic priorities and faster growth businesses, drive efficiencies in the Company’s operations and streamline the Company’s supply chain to reduce structural costs. Implementation is expected to complete by mid-2025.</t>
    </r>
  </si>
  <si>
    <r>
      <rPr>
        <b/>
        <sz val="12"/>
        <color rgb="FF000000"/>
        <rFont val="Calibri"/>
        <family val="2"/>
        <scheme val="minor"/>
      </rPr>
      <t>2.</t>
    </r>
    <r>
      <rPr>
        <sz val="12"/>
        <color rgb="FF000000"/>
        <rFont val="Calibri"/>
        <family val="2"/>
        <scheme val="minor"/>
      </rPr>
      <t xml:space="preserve"> The 2023 Israel Hamas war, Ukraine war and ongoing tensions between China and Taiwan pose limitations in business in these geographies.</t>
    </r>
  </si>
  <si>
    <t>Valuation Summary</t>
  </si>
  <si>
    <t xml:space="preserve">        Football Field Analysis</t>
  </si>
  <si>
    <t>Share price as of last close 11-03-2025</t>
  </si>
  <si>
    <t>12/31/2024</t>
  </si>
  <si>
    <t>The Clorox Co.</t>
  </si>
  <si>
    <t>Kimberly Clark</t>
  </si>
  <si>
    <t>Clorox</t>
  </si>
  <si>
    <t>Gross Margin</t>
  </si>
  <si>
    <t>Company</t>
  </si>
  <si>
    <t>Proctor &amp; Gamble</t>
  </si>
  <si>
    <t>Colgate Palmolive</t>
  </si>
  <si>
    <t>Based on the data available as of March 11, 2025, it is evident that:</t>
  </si>
  <si>
    <t>Procter and Gamble is the leading company having maximum market share in terms of revenue having gross profit margin of 51.3%</t>
  </si>
  <si>
    <t>Colgate  outperforms the GPCs in terms of gross profit margin as 60.5% in contrast to 51.1%, 35.8%,44.6% for Procter and Gamble, Kimberly-Clark and Clorox respectively.</t>
  </si>
  <si>
    <t>Pet Care</t>
  </si>
  <si>
    <t>Home Care</t>
  </si>
  <si>
    <t xml:space="preserve">Personal Care </t>
  </si>
  <si>
    <t>Oral Care</t>
  </si>
  <si>
    <t>2020</t>
  </si>
  <si>
    <t>2021</t>
  </si>
  <si>
    <t>2022</t>
  </si>
  <si>
    <t>2023</t>
  </si>
  <si>
    <t>2024</t>
  </si>
  <si>
    <t>Product</t>
  </si>
  <si>
    <t xml:space="preserve"> Revenue split between the two product  segments has historically witnessed a slight change due to increase   in revenue (in dollar terms) for Pet Nutrition Segment. 
Historically, the Company was able to increase revenue from Pet Nutrition Segment through the following measures: 
Primary drivers of minor fluctuations are:
                                        (1) introduction of new categories of products viz. wellness, therapeutic, science diet,
                                              prescription diet etc.; 
                                        (2) entry in new geographies;
                                        (3) increase in selling price; and
                                        (4) synergistic impact of acquisitions. </t>
  </si>
  <si>
    <t>Region</t>
  </si>
  <si>
    <t>Africa</t>
  </si>
  <si>
    <t>Operating profit margin</t>
  </si>
  <si>
    <t>Net Sales</t>
  </si>
  <si>
    <t>Hills pet nutrition</t>
  </si>
  <si>
    <t>Colgate-Palmoliveis a global consumer products company, operating 13 brands and serving across 200 countries with the motto :"Caring , innovative growth company reimagining a healthier future for all people, their pets and our planet".
The Company focusses on production and distribution in 4 core categories: Oral Care, Personal Care, Home Care and Pet Nutrition. Approximately 70% of the Company’s Net sales are generated from markets outside the U.S., with approximately 45% of the Company’s Net sales coming from emerging markets (which consist of Latin America, Asia (excluding Japan), Africa/Eurasia and Central Europe). This geographic diversity helps to balance the Company’s  business risk exposure in any one country or part of the world.
Through Hill’s Pet Nutrition, the Company,  also competes on a worldwide basis in the pet nutrition market, selling its products principally through authorized pet supply retailers, veterinarians and e-commerce retailers. 
The Company has won many prestigious awards for its products like Colgate Max White Ultra toothpaste,  Colgate Renew,  Ultra Pure + Clear Dish Soap,  Palmolive UP, -Optic White Pro Series, and Recognized for being the Fastest Growing Oral Care Brand of the Decade, and Top-Performing Household Products Company 2021 by Dow Jones for being the Brand Found in most homes as well as  #1 Cosmetic Brand in Spain and Philippines. Forbes recognizes it as one of the World's Most Valuable Brands, and Morning Consult places it in the Top 50 Most Loved Brands in America, while The Economic Times Brand Equity named it among the The World's Most Trusted Brands.It has also won several awards for Sustainability and Corporate Management, all in all showcasing its immense popularity and loyal consumer base. The Company continues to expand its product range by introducing breakthrough innovations, the most current ones being Smart AI enabled toothbrush and ActiveBiome + for pet Health and  novel skin brightening technology (C&amp;E Advanced-with Hexylresorcinol and Silymarin), thus ensuring regular market share  while  simultaneously maintaining steady demand growth of its regular products.</t>
  </si>
  <si>
    <t>03-13-2025</t>
  </si>
  <si>
    <t>03-14-2025</t>
  </si>
  <si>
    <t>03-15-2025</t>
  </si>
  <si>
    <t>03-16-2058</t>
  </si>
  <si>
    <t>03-17-2025</t>
  </si>
  <si>
    <t>03-18-2025</t>
  </si>
  <si>
    <t>03-19-2025</t>
  </si>
  <si>
    <t>03-20-2025</t>
  </si>
  <si>
    <t>03-21-2025</t>
  </si>
  <si>
    <t>01-13-2025</t>
  </si>
  <si>
    <t>01-14-2025</t>
  </si>
  <si>
    <t>01-15-2025</t>
  </si>
  <si>
    <t>01-16-2025</t>
  </si>
  <si>
    <t>01-17-2025</t>
  </si>
  <si>
    <t>01-21-2025</t>
  </si>
  <si>
    <t>01-22-2025</t>
  </si>
  <si>
    <t>01-23-2025</t>
  </si>
  <si>
    <t>01-24-2025</t>
  </si>
  <si>
    <t>01-27-2025</t>
  </si>
  <si>
    <t>01-28-2025</t>
  </si>
  <si>
    <t>01-29-2025</t>
  </si>
  <si>
    <t>01-30-2025</t>
  </si>
  <si>
    <t>01-31-2025</t>
  </si>
  <si>
    <t>NAV Calculation</t>
  </si>
  <si>
    <t>BETA</t>
  </si>
  <si>
    <t xml:space="preserve">Weighted Average Cost of Capital </t>
  </si>
  <si>
    <t>Market Cap as of 31-12-2024</t>
  </si>
  <si>
    <t>Founded in 1806, Colgate-Palmolive Company is a caring, innovative growth company reimagining a healthier future for all people, their pets and our planet. It is a publicly traded consumer products company with $20.1  billion of worldwide net sales in 2024. As of December 31, 2024, the Company had approximately 34,000 employees based in over 100 countries, driving its success. Headquartered in New York City, Colgate operates in two product segments: Oral, Personal and Home Care; and Pet Nutrition. The operations of the Oral, Personal and Home Care product segment are managed geographically in five reportable operating segments: North America, Latin America, Europe, Asia Pacific and Africa/Eurasia.</t>
  </si>
  <si>
    <t>Misc+VR Comments+edits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</si>
</sst>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quot;₹&quot;\ * #,##0.00_);_(&quot;₹&quot;\ * \(#,##0.00\);_(&quot;₹&quot;\ * &quot;-&quot;??_);_(@_)"/>
    <numFmt numFmtId="165" formatCode="_(* #,##0.00_);_(* \(#,##0.00\);_(* &quot;-&quot;??_);_(@_)"/>
    <numFmt numFmtId="166" formatCode="_(&quot;$&quot;* #,##0.00_);_(&quot;$&quot;* \(#,##0.00\);_(&quot;$&quot;* &quot;-&quot;??_);_(@_)"/>
    <numFmt numFmtId="167" formatCode="_(\$* #,##0_);_(\$* \(#,##0\);_(\$* \-_);_(@_)"/>
    <numFmt numFmtId="168" formatCode="_(\$* #,##0.00_);_(\$* \(#,##0.00\);_(\$* \-??_);_(@_)"/>
    <numFmt numFmtId="169" formatCode="General&quot;A&quot;"/>
    <numFmt numFmtId="170" formatCode="&quot;      &quot;\&amp;General"/>
    <numFmt numFmtId="171" formatCode="_(* #,##0_);_(* \(#,##0\);_(* &quot;-&quot;??_);_(@_)"/>
    <numFmt numFmtId="172" formatCode="[$₹-4009]\ #,##0.00"/>
    <numFmt numFmtId="173" formatCode="General&quot;E&quot;"/>
    <numFmt numFmtId="174" formatCode="0.0%"/>
    <numFmt numFmtId="175" formatCode="0.0\x"/>
    <numFmt numFmtId="176" formatCode="&quot;Case &quot;General"/>
    <numFmt numFmtId="177" formatCode="0.0"/>
    <numFmt numFmtId="178" formatCode="#,##0;\(#,##0\);\-"/>
    <numFmt numFmtId="179" formatCode="_(* #,##0.0_);_(* \(#,##0.0\);_(* &quot;-&quot;??_);_(@_)"/>
    <numFmt numFmtId="180" formatCode="0.00000"/>
    <numFmt numFmtId="181" formatCode="0.00000000000000000000000000000000000"/>
    <numFmt numFmtId="182" formatCode="0.0&quot;x&quot;"/>
    <numFmt numFmtId="183" formatCode="&quot;$&quot;#,##0.00"/>
    <numFmt numFmtId="184" formatCode="&quot;$&quot;#,##0.0_);\(&quot;$&quot;#,##0.0\)"/>
    <numFmt numFmtId="185" formatCode="#,##0.0"/>
    <numFmt numFmtId="186" formatCode="#,##0_);\(#,##0\);\-_)"/>
    <numFmt numFmtId="187" formatCode="&quot;₹&quot;\ #,##0.0"/>
    <numFmt numFmtId="188" formatCode="[$-14009]dd/mm/yyyy;@"/>
  </numFmts>
  <fonts count="80" x14ac:knownFonts="1">
    <font>
      <sz val="11"/>
      <color theme="1"/>
      <name val="Calibri"/>
      <family val="2"/>
      <scheme val="minor"/>
    </font>
    <font>
      <b/>
      <sz val="11"/>
      <color theme="0"/>
      <name val="Calibri"/>
      <family val="2"/>
      <scheme val="minor"/>
    </font>
    <font>
      <b/>
      <sz val="11"/>
      <color theme="1"/>
      <name val="Calibri"/>
      <family val="2"/>
      <scheme val="minor"/>
    </font>
    <font>
      <b/>
      <sz val="11"/>
      <color indexed="8"/>
      <name val="Calibri"/>
      <family val="2"/>
      <charset val="1"/>
    </font>
    <font>
      <sz val="11"/>
      <color indexed="8"/>
      <name val="Calibri"/>
      <family val="2"/>
    </font>
    <font>
      <sz val="11"/>
      <color rgb="FF0000FF"/>
      <name val="Calibri"/>
      <family val="2"/>
      <scheme val="minor"/>
    </font>
    <font>
      <sz val="11"/>
      <color theme="9" tint="-0.249977111117893"/>
      <name val="Calibri"/>
      <family val="2"/>
      <scheme val="minor"/>
    </font>
    <font>
      <sz val="11"/>
      <color rgb="FF0000FF"/>
      <name val="Calibri"/>
      <family val="2"/>
    </font>
    <font>
      <b/>
      <sz val="11"/>
      <color indexed="8"/>
      <name val="Calibri"/>
      <family val="2"/>
    </font>
    <font>
      <b/>
      <vertAlign val="superscript"/>
      <sz val="11"/>
      <color theme="0"/>
      <name val="Calibri"/>
      <family val="2"/>
      <scheme val="minor"/>
    </font>
    <font>
      <b/>
      <u/>
      <sz val="11"/>
      <color theme="1"/>
      <name val="Calibri"/>
      <family val="2"/>
      <scheme val="minor"/>
    </font>
    <font>
      <b/>
      <sz val="11"/>
      <color theme="0"/>
      <name val="Calibri"/>
      <family val="2"/>
      <charset val="1"/>
    </font>
    <font>
      <i/>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b/>
      <sz val="11"/>
      <color rgb="FFFF0000"/>
      <name val="Calibri"/>
      <family val="2"/>
      <scheme val="minor"/>
    </font>
    <font>
      <sz val="11"/>
      <color theme="9" tint="-0.249977111117893"/>
      <name val="Calibri"/>
      <family val="2"/>
    </font>
    <font>
      <sz val="11"/>
      <name val="Calibri"/>
      <family val="2"/>
      <scheme val="minor"/>
    </font>
    <font>
      <b/>
      <sz val="11"/>
      <name val="Calibri"/>
      <family val="2"/>
      <scheme val="minor"/>
    </font>
    <font>
      <sz val="11"/>
      <name val="Calibri"/>
      <family val="2"/>
    </font>
    <font>
      <b/>
      <sz val="11"/>
      <name val="Calibri"/>
      <family val="2"/>
    </font>
    <font>
      <sz val="10"/>
      <color theme="1"/>
      <name val="Calibri"/>
      <family val="2"/>
      <scheme val="minor"/>
    </font>
    <font>
      <i/>
      <sz val="10"/>
      <color theme="1"/>
      <name val="Calibri"/>
      <family val="2"/>
      <scheme val="minor"/>
    </font>
    <font>
      <i/>
      <sz val="11"/>
      <name val="Calibri"/>
      <family val="2"/>
      <scheme val="minor"/>
    </font>
    <font>
      <b/>
      <sz val="14"/>
      <color theme="0"/>
      <name val="Calibri"/>
      <family val="2"/>
      <scheme val="minor"/>
    </font>
    <font>
      <i/>
      <sz val="11"/>
      <color rgb="FFFF0000"/>
      <name val="Calibri"/>
      <family val="2"/>
      <scheme val="minor"/>
    </font>
    <font>
      <sz val="14"/>
      <color theme="1"/>
      <name val="Calibri"/>
      <family val="2"/>
      <scheme val="minor"/>
    </font>
    <font>
      <sz val="14"/>
      <name val="Calibri"/>
      <family val="2"/>
      <scheme val="minor"/>
    </font>
    <font>
      <b/>
      <sz val="11"/>
      <color theme="1"/>
      <name val="Calibri"/>
      <family val="2"/>
    </font>
    <font>
      <sz val="14"/>
      <color theme="0"/>
      <name val="Calibri"/>
      <family val="2"/>
      <scheme val="minor"/>
    </font>
    <font>
      <b/>
      <u/>
      <sz val="14"/>
      <color theme="0"/>
      <name val="Calibri"/>
      <family val="2"/>
      <scheme val="minor"/>
    </font>
    <font>
      <b/>
      <sz val="14"/>
      <color rgb="FF000000"/>
      <name val="Calibri"/>
      <family val="2"/>
      <scheme val="minor"/>
    </font>
    <font>
      <b/>
      <u val="singleAccounting"/>
      <sz val="14"/>
      <color theme="0"/>
      <name val="Calibri"/>
      <family val="2"/>
      <scheme val="minor"/>
    </font>
    <font>
      <b/>
      <i/>
      <sz val="11"/>
      <name val="Calibri"/>
      <family val="2"/>
      <scheme val="minor"/>
    </font>
    <font>
      <i/>
      <sz val="11"/>
      <color indexed="8"/>
      <name val="Calibri"/>
      <family val="2"/>
    </font>
    <font>
      <i/>
      <sz val="11"/>
      <name val="Calibri"/>
      <family val="2"/>
    </font>
    <font>
      <b/>
      <i/>
      <sz val="11"/>
      <color theme="1"/>
      <name val="Calibri"/>
      <family val="2"/>
      <scheme val="minor"/>
    </font>
    <font>
      <sz val="12"/>
      <name val="Calibri"/>
      <family val="2"/>
      <scheme val="minor"/>
    </font>
    <font>
      <b/>
      <sz val="12"/>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
      <b/>
      <u val="singleAccounting"/>
      <sz val="12"/>
      <color rgb="FF000000"/>
      <name val="Calibri"/>
      <family val="2"/>
      <scheme val="minor"/>
    </font>
    <font>
      <b/>
      <u val="singleAccounting"/>
      <sz val="12"/>
      <color rgb="FFFF0000"/>
      <name val="Calibri"/>
      <family val="2"/>
      <scheme val="minor"/>
    </font>
    <font>
      <b/>
      <sz val="12"/>
      <color theme="0"/>
      <name val="Calibri"/>
      <family val="2"/>
      <scheme val="minor"/>
    </font>
    <font>
      <sz val="12"/>
      <color theme="0"/>
      <name val="Calibri"/>
      <family val="2"/>
      <scheme val="minor"/>
    </font>
    <font>
      <b/>
      <u val="singleAccounting"/>
      <sz val="12"/>
      <name val="Calibri"/>
      <family val="2"/>
      <scheme val="minor"/>
    </font>
    <font>
      <i/>
      <sz val="12"/>
      <color rgb="FFFF0000"/>
      <name val="Calibri"/>
      <family val="2"/>
      <scheme val="minor"/>
    </font>
    <font>
      <b/>
      <u/>
      <sz val="12"/>
      <color theme="1"/>
      <name val="Calibri"/>
      <family val="2"/>
      <scheme val="minor"/>
    </font>
    <font>
      <u/>
      <sz val="11"/>
      <name val="Calibri"/>
      <family val="2"/>
      <scheme val="minor"/>
    </font>
    <font>
      <b/>
      <u val="singleAccounting"/>
      <sz val="14"/>
      <color theme="1"/>
      <name val="Calibri"/>
      <family val="2"/>
      <scheme val="minor"/>
    </font>
    <font>
      <u val="singleAccounting"/>
      <sz val="11"/>
      <color theme="1"/>
      <name val="Calibri"/>
      <family val="2"/>
      <scheme val="minor"/>
    </font>
    <font>
      <b/>
      <sz val="11"/>
      <color theme="9" tint="-0.249977111117893"/>
      <name val="Calibri"/>
      <family val="2"/>
      <scheme val="minor"/>
    </font>
    <font>
      <b/>
      <sz val="11"/>
      <color rgb="FF0000FF"/>
      <name val="Calibri"/>
      <family val="2"/>
      <scheme val="minor"/>
    </font>
    <font>
      <sz val="12"/>
      <name val="Times New Roman"/>
      <family val="1"/>
    </font>
    <font>
      <sz val="10"/>
      <color rgb="FF000000"/>
      <name val="Arial"/>
      <family val="2"/>
    </font>
    <font>
      <sz val="11"/>
      <color theme="5" tint="-0.499984740745262"/>
      <name val="Calibri"/>
      <family val="2"/>
      <scheme val="minor"/>
    </font>
    <font>
      <sz val="10"/>
      <name val="Arial"/>
      <family val="2"/>
    </font>
    <font>
      <sz val="10"/>
      <name val="Times New Roman"/>
      <family val="1"/>
    </font>
    <font>
      <b/>
      <u/>
      <sz val="11"/>
      <name val="Calibri"/>
      <family val="2"/>
      <scheme val="minor"/>
    </font>
    <font>
      <sz val="11"/>
      <color rgb="FF0000CC"/>
      <name val="Calibri"/>
      <family val="2"/>
      <scheme val="minor"/>
    </font>
    <font>
      <sz val="10"/>
      <color theme="1"/>
      <name val="Trebuchet MS"/>
      <family val="2"/>
    </font>
    <font>
      <sz val="11"/>
      <color rgb="FF000000"/>
      <name val="Calibri"/>
      <family val="2"/>
      <scheme val="minor"/>
    </font>
    <font>
      <sz val="1"/>
      <color theme="0"/>
      <name val="Calibri"/>
      <family val="2"/>
      <scheme val="minor"/>
    </font>
    <font>
      <sz val="1"/>
      <color rgb="FFFF2D2D"/>
      <name val="Calibri"/>
      <family val="2"/>
      <scheme val="minor"/>
    </font>
    <font>
      <b/>
      <u val="singleAccounting"/>
      <sz val="11"/>
      <name val="Calibri"/>
      <family val="2"/>
      <scheme val="minor"/>
    </font>
    <font>
      <u val="singleAccounting"/>
      <sz val="11"/>
      <name val="Calibri"/>
      <family val="2"/>
      <scheme val="minor"/>
    </font>
    <font>
      <b/>
      <u val="singleAccounting"/>
      <sz val="11"/>
      <color theme="1"/>
      <name val="Calibri"/>
      <family val="2"/>
      <scheme val="minor"/>
    </font>
    <font>
      <b/>
      <sz val="11"/>
      <color rgb="FF2F5597"/>
      <name val="Calibri"/>
      <family val="2"/>
      <scheme val="minor"/>
    </font>
    <font>
      <b/>
      <i/>
      <sz val="11"/>
      <color rgb="FF2F5597"/>
      <name val="Calibri"/>
      <family val="2"/>
      <scheme val="minor"/>
    </font>
    <font>
      <sz val="36"/>
      <color theme="0"/>
      <name val="Calibri"/>
      <family val="2"/>
      <scheme val="minor"/>
    </font>
    <font>
      <b/>
      <sz val="11"/>
      <color theme="4"/>
      <name val="Calibri"/>
      <family val="2"/>
      <scheme val="minor"/>
    </font>
    <font>
      <sz val="11"/>
      <color theme="4"/>
      <name val="Calibri"/>
      <family val="2"/>
      <scheme val="minor"/>
    </font>
    <font>
      <b/>
      <i/>
      <sz val="11"/>
      <color theme="4"/>
      <name val="Calibri"/>
      <family val="2"/>
      <scheme val="minor"/>
    </font>
    <font>
      <b/>
      <u/>
      <sz val="20"/>
      <color theme="1"/>
      <name val="Calibri"/>
      <family val="2"/>
      <scheme val="minor"/>
    </font>
    <font>
      <b/>
      <sz val="9"/>
      <color indexed="81"/>
      <name val="Tahoma"/>
      <charset val="1"/>
    </font>
    <font>
      <sz val="11"/>
      <color rgb="FF1B1B1B"/>
      <name val="Arial"/>
      <family val="2"/>
    </font>
    <font>
      <sz val="11"/>
      <color rgb="FF1B1B1B"/>
      <name val="Calibri"/>
      <family val="2"/>
      <scheme val="minor"/>
    </font>
  </fonts>
  <fills count="29">
    <fill>
      <patternFill patternType="none"/>
    </fill>
    <fill>
      <patternFill patternType="gray125"/>
    </fill>
    <fill>
      <patternFill patternType="solid">
        <fgColor theme="1" tint="4.9989318521683403E-2"/>
        <bgColor indexed="64"/>
      </patternFill>
    </fill>
    <fill>
      <patternFill patternType="lightDown"/>
    </fill>
    <fill>
      <patternFill patternType="solid">
        <fgColor rgb="FF7DE1DF"/>
        <bgColor indexed="64"/>
      </patternFill>
    </fill>
    <fill>
      <patternFill patternType="solid">
        <fgColor rgb="FFE2EFDA"/>
        <bgColor indexed="64"/>
      </patternFill>
    </fill>
    <fill>
      <patternFill patternType="solid">
        <fgColor theme="0" tint="-4.9989318521683403E-2"/>
        <bgColor indexed="64"/>
      </patternFill>
    </fill>
    <fill>
      <patternFill patternType="solid">
        <fgColor theme="1"/>
        <bgColor indexed="64"/>
      </patternFill>
    </fill>
    <fill>
      <patternFill patternType="lightDown">
        <bgColor theme="0" tint="-4.9989318521683403E-2"/>
      </patternFill>
    </fill>
    <fill>
      <patternFill patternType="solid">
        <fgColor rgb="FFB00000"/>
        <bgColor indexed="64"/>
      </patternFill>
    </fill>
    <fill>
      <patternFill patternType="solid">
        <fgColor rgb="FFFF2D2D"/>
        <bgColor indexed="64"/>
      </patternFill>
    </fill>
    <fill>
      <patternFill patternType="solid">
        <fgColor rgb="FFFF5D5D"/>
        <bgColor indexed="64"/>
      </patternFill>
    </fill>
    <fill>
      <patternFill patternType="solid">
        <fgColor rgb="FFFF9797"/>
        <bgColor indexed="64"/>
      </patternFill>
    </fill>
    <fill>
      <patternFill patternType="solid">
        <fgColor rgb="FFFFD5D5"/>
        <bgColor indexed="64"/>
      </patternFill>
    </fill>
    <fill>
      <patternFill patternType="solid">
        <fgColor theme="0"/>
        <bgColor indexed="64"/>
      </patternFill>
    </fill>
    <fill>
      <patternFill patternType="solid">
        <fgColor theme="7" tint="0.79998168889431442"/>
        <bgColor indexed="64"/>
      </patternFill>
    </fill>
    <fill>
      <patternFill patternType="solid">
        <fgColor rgb="FFFFE5E5"/>
        <bgColor indexed="64"/>
      </patternFill>
    </fill>
    <fill>
      <patternFill patternType="solid">
        <fgColor rgb="FFFFF3F3"/>
        <bgColor indexed="64"/>
      </patternFill>
    </fill>
    <fill>
      <patternFill patternType="lightUp"/>
    </fill>
    <fill>
      <patternFill patternType="solid">
        <fgColor theme="1" tint="0.499984740745262"/>
        <bgColor indexed="64"/>
      </patternFill>
    </fill>
    <fill>
      <patternFill patternType="solid">
        <fgColor theme="8" tint="0.39997558519241921"/>
        <bgColor indexed="65"/>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rgb="FFFFFFFF"/>
        <bgColor indexed="64"/>
      </patternFill>
    </fill>
    <fill>
      <patternFill patternType="solid">
        <fgColor rgb="FFDFE1E2"/>
        <bgColor indexed="64"/>
      </patternFill>
    </fill>
    <fill>
      <patternFill patternType="solid">
        <fgColor theme="8" tint="0.59999389629810485"/>
        <bgColor indexed="64"/>
      </patternFill>
    </fill>
  </fills>
  <borders count="82">
    <border>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top/>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style="dotted">
        <color indexed="64"/>
      </top>
      <bottom style="thick">
        <color theme="0"/>
      </bottom>
      <diagonal/>
    </border>
    <border>
      <left style="thick">
        <color theme="0"/>
      </left>
      <right/>
      <top style="dotted">
        <color indexed="64"/>
      </top>
      <bottom style="thick">
        <color theme="0"/>
      </bottom>
      <diagonal/>
    </border>
    <border>
      <left/>
      <right style="thick">
        <color theme="0"/>
      </right>
      <top style="dotted">
        <color indexed="64"/>
      </top>
      <bottom style="thick">
        <color theme="0"/>
      </bottom>
      <diagonal/>
    </border>
    <border>
      <left/>
      <right/>
      <top style="thick">
        <color theme="0"/>
      </top>
      <bottom/>
      <diagonal/>
    </border>
    <border>
      <left style="thick">
        <color theme="0"/>
      </left>
      <right style="thick">
        <color theme="0"/>
      </right>
      <top/>
      <bottom style="thick">
        <color theme="0"/>
      </bottom>
      <diagonal/>
    </border>
    <border>
      <left style="mediumDashed">
        <color rgb="FFFF0000"/>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right style="mediumDashed">
        <color rgb="FFFF0000"/>
      </right>
      <top style="mediumDashed">
        <color rgb="FFFF0000"/>
      </top>
      <bottom/>
      <diagonal/>
    </border>
    <border>
      <left/>
      <right/>
      <top style="mediumDashed">
        <color rgb="FFFF0000"/>
      </top>
      <bottom/>
      <diagonal/>
    </border>
    <border>
      <left style="mediumDashed">
        <color rgb="FFFF0000"/>
      </left>
      <right/>
      <top style="mediumDashed">
        <color rgb="FFFF0000"/>
      </top>
      <bottom/>
      <diagonal/>
    </border>
    <border>
      <left/>
      <right style="mediumDashed">
        <color rgb="FFFF0000"/>
      </right>
      <top/>
      <bottom style="mediumDashed">
        <color rgb="FFFF0000"/>
      </bottom>
      <diagonal/>
    </border>
    <border>
      <left/>
      <right/>
      <top/>
      <bottom style="mediumDashed">
        <color rgb="FFFF0000"/>
      </bottom>
      <diagonal/>
    </border>
    <border>
      <left/>
      <right style="mediumDashed">
        <color rgb="FFFF0000"/>
      </right>
      <top/>
      <bottom/>
      <diagonal/>
    </border>
    <border>
      <left style="mediumDashed">
        <color rgb="FFFF0000"/>
      </left>
      <right/>
      <top/>
      <bottom/>
      <diagonal/>
    </border>
    <border>
      <left style="medium">
        <color theme="0"/>
      </left>
      <right style="medium">
        <color theme="0"/>
      </right>
      <top style="medium">
        <color theme="0"/>
      </top>
      <bottom style="medium">
        <color theme="0"/>
      </bottom>
      <diagonal/>
    </border>
    <border>
      <left/>
      <right style="thick">
        <color theme="0"/>
      </right>
      <top/>
      <bottom style="thin">
        <color theme="1"/>
      </bottom>
      <diagonal/>
    </border>
    <border>
      <left style="thick">
        <color theme="0"/>
      </left>
      <right style="thick">
        <color theme="0"/>
      </right>
      <top/>
      <bottom style="thin">
        <color theme="1"/>
      </bottom>
      <diagonal/>
    </border>
    <border>
      <left style="thick">
        <color theme="0"/>
      </left>
      <right style="thick">
        <color rgb="FFFFFFFF"/>
      </right>
      <top/>
      <bottom style="thin">
        <color theme="1"/>
      </bottom>
      <diagonal/>
    </border>
    <border>
      <left/>
      <right style="thick">
        <color theme="0"/>
      </right>
      <top/>
      <bottom style="thick">
        <color theme="0"/>
      </bottom>
      <diagonal/>
    </border>
    <border>
      <left/>
      <right/>
      <top style="dotted">
        <color indexed="64"/>
      </top>
      <bottom style="thick">
        <color theme="0"/>
      </bottom>
      <diagonal/>
    </border>
    <border>
      <left style="thick">
        <color theme="0"/>
      </left>
      <right style="thick">
        <color theme="0"/>
      </right>
      <top style="thick">
        <color theme="0"/>
      </top>
      <bottom style="thin">
        <color theme="1"/>
      </bottom>
      <diagonal/>
    </border>
    <border>
      <left style="thick">
        <color theme="0"/>
      </left>
      <right/>
      <top style="thick">
        <color theme="0"/>
      </top>
      <bottom style="thin">
        <color theme="1"/>
      </bottom>
      <diagonal/>
    </border>
    <border>
      <left style="thin">
        <color theme="1"/>
      </left>
      <right style="thin">
        <color theme="1"/>
      </right>
      <top style="thin">
        <color theme="1"/>
      </top>
      <bottom style="thin">
        <color theme="1"/>
      </bottom>
      <diagonal/>
    </border>
    <border>
      <left style="thick">
        <color theme="0"/>
      </left>
      <right style="thick">
        <color theme="0"/>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ck">
        <color theme="0"/>
      </right>
      <top style="thin">
        <color indexed="64"/>
      </top>
      <bottom style="double">
        <color indexed="64"/>
      </bottom>
      <diagonal/>
    </border>
    <border>
      <left style="thick">
        <color theme="0"/>
      </left>
      <right style="thick">
        <color theme="0"/>
      </right>
      <top style="thin">
        <color indexed="64"/>
      </top>
      <bottom style="double">
        <color indexed="64"/>
      </bottom>
      <diagonal/>
    </border>
    <border>
      <left style="mediumDashed">
        <color rgb="FFFF0000"/>
      </left>
      <right/>
      <top/>
      <bottom style="mediumDashed">
        <color rgb="FFFF000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top style="mediumDashed">
        <color rgb="FFFF0000"/>
      </top>
      <bottom style="mediumDashed">
        <color rgb="FFFF0000"/>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theme="1"/>
      </top>
      <bottom style="double">
        <color theme="1"/>
      </bottom>
      <diagonal/>
    </border>
    <border>
      <left style="thick">
        <color theme="0"/>
      </left>
      <right style="thick">
        <color theme="0"/>
      </right>
      <top style="thin">
        <color theme="1"/>
      </top>
      <bottom style="double">
        <color theme="1"/>
      </bottom>
      <diagonal/>
    </border>
    <border>
      <left style="thick">
        <color theme="0"/>
      </left>
      <right style="thick">
        <color theme="0"/>
      </right>
      <top style="thin">
        <color theme="1"/>
      </top>
      <bottom style="thin">
        <color theme="1"/>
      </bottom>
      <diagonal/>
    </border>
    <border>
      <left style="thick">
        <color theme="0"/>
      </left>
      <right style="thick">
        <color theme="0"/>
      </right>
      <top style="thin">
        <color theme="1"/>
      </top>
      <bottom style="medium">
        <color theme="1"/>
      </bottom>
      <diagonal/>
    </border>
    <border>
      <left style="thick">
        <color theme="0"/>
      </left>
      <right style="thick">
        <color theme="0"/>
      </right>
      <top style="thin">
        <color theme="1"/>
      </top>
      <bottom style="thick">
        <color theme="0"/>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ck">
        <color theme="0"/>
      </left>
      <right style="thick">
        <color theme="0"/>
      </right>
      <top style="thin">
        <color indexed="64"/>
      </top>
      <bottom style="thick">
        <color theme="0"/>
      </bottom>
      <diagonal/>
    </border>
    <border>
      <left style="thick">
        <color theme="0"/>
      </left>
      <right style="thick">
        <color theme="0"/>
      </right>
      <top style="thin">
        <color indexed="64"/>
      </top>
      <bottom/>
      <diagonal/>
    </border>
    <border>
      <left style="thick">
        <color theme="0"/>
      </left>
      <right style="thin">
        <color indexed="64"/>
      </right>
      <top style="thick">
        <color theme="0"/>
      </top>
      <bottom style="thick">
        <color theme="0"/>
      </bottom>
      <diagonal/>
    </border>
    <border>
      <left style="thick">
        <color theme="0"/>
      </left>
      <right style="thick">
        <color theme="0"/>
      </right>
      <top style="thick">
        <color theme="0"/>
      </top>
      <bottom style="thin">
        <color indexed="64"/>
      </bottom>
      <diagonal/>
    </border>
    <border>
      <left style="thick">
        <color theme="0"/>
      </left>
      <right style="thin">
        <color indexed="64"/>
      </right>
      <top style="thick">
        <color theme="0"/>
      </top>
      <bottom style="thin">
        <color indexed="64"/>
      </bottom>
      <diagonal/>
    </border>
    <border>
      <left style="thick">
        <color theme="0"/>
      </left>
      <right style="thick">
        <color theme="0"/>
      </right>
      <top style="thin">
        <color indexed="64"/>
      </top>
      <bottom style="thin">
        <color indexed="64"/>
      </bottom>
      <diagonal/>
    </border>
    <border>
      <left style="thick">
        <color theme="0"/>
      </left>
      <right style="thin">
        <color indexed="64"/>
      </right>
      <top style="thin">
        <color indexed="64"/>
      </top>
      <bottom style="thick">
        <color theme="0"/>
      </bottom>
      <diagonal/>
    </border>
    <border>
      <left style="thick">
        <color theme="0"/>
      </left>
      <right/>
      <top/>
      <bottom style="thick">
        <color theme="0"/>
      </bottom>
      <diagonal/>
    </border>
    <border>
      <left/>
      <right/>
      <top/>
      <bottom style="thick">
        <color theme="0"/>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Dashed">
        <color theme="1"/>
      </left>
      <right/>
      <top style="mediumDashed">
        <color theme="1"/>
      </top>
      <bottom style="mediumDashed">
        <color theme="1"/>
      </bottom>
      <diagonal/>
    </border>
    <border>
      <left/>
      <right/>
      <top style="mediumDashed">
        <color theme="1"/>
      </top>
      <bottom style="mediumDashed">
        <color theme="1"/>
      </bottom>
      <diagonal/>
    </border>
    <border>
      <left/>
      <right style="mediumDashed">
        <color theme="1"/>
      </right>
      <top style="mediumDashed">
        <color theme="1"/>
      </top>
      <bottom style="mediumDashed">
        <color theme="1"/>
      </bottom>
      <diagonal/>
    </border>
    <border>
      <left style="thin">
        <color indexed="64"/>
      </left>
      <right/>
      <top style="thin">
        <color theme="1"/>
      </top>
      <bottom style="double">
        <color theme="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diagonal/>
    </border>
  </borders>
  <cellStyleXfs count="17">
    <xf numFmtId="0" fontId="0" fillId="0" borderId="0"/>
    <xf numFmtId="0" fontId="13" fillId="0" borderId="0"/>
    <xf numFmtId="0" fontId="16" fillId="0" borderId="0" applyNumberFormat="0" applyFill="0" applyBorder="0" applyAlignment="0" applyProtection="0"/>
    <xf numFmtId="165" fontId="13" fillId="0" borderId="0" applyFont="0" applyFill="0" applyBorder="0" applyAlignment="0" applyProtection="0"/>
    <xf numFmtId="0" fontId="13" fillId="0" borderId="0"/>
    <xf numFmtId="0" fontId="56" fillId="0" borderId="0"/>
    <xf numFmtId="0" fontId="57" fillId="0" borderId="0"/>
    <xf numFmtId="0" fontId="59" fillId="0" borderId="0"/>
    <xf numFmtId="0" fontId="13" fillId="0" borderId="0"/>
    <xf numFmtId="0" fontId="60" fillId="0" borderId="0"/>
    <xf numFmtId="9" fontId="13" fillId="0" borderId="0" applyFont="0" applyFill="0" applyBorder="0" applyAlignment="0" applyProtection="0"/>
    <xf numFmtId="166" fontId="59" fillId="0" borderId="0" applyFont="0" applyFill="0" applyBorder="0" applyAlignment="0" applyProtection="0"/>
    <xf numFmtId="9" fontId="13" fillId="0" borderId="0" applyFont="0" applyFill="0" applyBorder="0" applyAlignment="0" applyProtection="0"/>
    <xf numFmtId="0" fontId="13" fillId="0" borderId="0"/>
    <xf numFmtId="0" fontId="63" fillId="0" borderId="0"/>
    <xf numFmtId="165" fontId="13" fillId="0" borderId="0" applyFont="0" applyFill="0" applyBorder="0" applyAlignment="0" applyProtection="0"/>
    <xf numFmtId="0" fontId="13" fillId="20" borderId="0" applyNumberFormat="0" applyBorder="0" applyAlignment="0" applyProtection="0"/>
  </cellStyleXfs>
  <cellXfs count="668">
    <xf numFmtId="0" fontId="0" fillId="0" borderId="0" xfId="0"/>
    <xf numFmtId="0" fontId="3" fillId="0" borderId="0" xfId="0" applyFont="1"/>
    <xf numFmtId="167" fontId="4" fillId="0" borderId="0" xfId="0" applyNumberFormat="1" applyFont="1"/>
    <xf numFmtId="3" fontId="4" fillId="0" borderId="0" xfId="0" applyNumberFormat="1" applyFont="1"/>
    <xf numFmtId="0" fontId="4" fillId="0" borderId="0" xfId="0" applyFont="1"/>
    <xf numFmtId="168" fontId="4" fillId="0" borderId="0" xfId="0" applyNumberFormat="1" applyFont="1"/>
    <xf numFmtId="167" fontId="0" fillId="0" borderId="0" xfId="0" applyNumberFormat="1"/>
    <xf numFmtId="3" fontId="0" fillId="0" borderId="0" xfId="0" applyNumberFormat="1"/>
    <xf numFmtId="0" fontId="5" fillId="0" borderId="0" xfId="0" applyFont="1"/>
    <xf numFmtId="0" fontId="6" fillId="0" borderId="0" xfId="0" applyFont="1"/>
    <xf numFmtId="169" fontId="0" fillId="4" borderId="0" xfId="0" applyNumberFormat="1" applyFill="1"/>
    <xf numFmtId="169" fontId="0" fillId="5" borderId="0" xfId="0" applyNumberFormat="1" applyFill="1"/>
    <xf numFmtId="0" fontId="1" fillId="2" borderId="1" xfId="0" applyFont="1" applyFill="1" applyBorder="1"/>
    <xf numFmtId="0" fontId="0" fillId="3" borderId="1" xfId="0" applyFill="1" applyBorder="1"/>
    <xf numFmtId="3" fontId="5" fillId="6" borderId="1" xfId="0" applyNumberFormat="1" applyFont="1" applyFill="1" applyBorder="1"/>
    <xf numFmtId="3" fontId="7" fillId="6" borderId="1" xfId="0" applyNumberFormat="1" applyFont="1" applyFill="1" applyBorder="1"/>
    <xf numFmtId="0" fontId="4" fillId="6" borderId="1" xfId="0" applyFont="1" applyFill="1" applyBorder="1"/>
    <xf numFmtId="4" fontId="5" fillId="6" borderId="1" xfId="0" applyNumberFormat="1" applyFont="1" applyFill="1" applyBorder="1"/>
    <xf numFmtId="4" fontId="7" fillId="6" borderId="1" xfId="0" applyNumberFormat="1" applyFont="1" applyFill="1" applyBorder="1"/>
    <xf numFmtId="0" fontId="4" fillId="6" borderId="2" xfId="0" applyFont="1" applyFill="1" applyBorder="1"/>
    <xf numFmtId="3" fontId="5" fillId="6" borderId="2" xfId="0" applyNumberFormat="1" applyFont="1" applyFill="1" applyBorder="1"/>
    <xf numFmtId="3" fontId="7" fillId="6" borderId="2" xfId="0" applyNumberFormat="1" applyFont="1" applyFill="1" applyBorder="1"/>
    <xf numFmtId="165" fontId="5" fillId="6" borderId="2" xfId="0" applyNumberFormat="1" applyFont="1" applyFill="1" applyBorder="1"/>
    <xf numFmtId="0" fontId="10" fillId="0" borderId="0" xfId="0" applyFont="1"/>
    <xf numFmtId="0" fontId="1" fillId="2" borderId="3" xfId="0" applyFont="1" applyFill="1" applyBorder="1"/>
    <xf numFmtId="0" fontId="8" fillId="0" borderId="0" xfId="0" applyFont="1"/>
    <xf numFmtId="0" fontId="11" fillId="7" borderId="0" xfId="0" applyFont="1" applyFill="1"/>
    <xf numFmtId="0" fontId="0" fillId="6" borderId="5" xfId="0" applyFill="1" applyBorder="1"/>
    <xf numFmtId="170" fontId="4" fillId="6" borderId="6" xfId="0" applyNumberFormat="1" applyFont="1" applyFill="1" applyBorder="1" applyAlignment="1">
      <alignment horizontal="left"/>
    </xf>
    <xf numFmtId="0" fontId="12" fillId="0" borderId="0" xfId="0" applyFont="1"/>
    <xf numFmtId="3" fontId="12" fillId="0" borderId="0" xfId="0" applyNumberFormat="1" applyFont="1"/>
    <xf numFmtId="0" fontId="2" fillId="0" borderId="0" xfId="0" applyFont="1"/>
    <xf numFmtId="37" fontId="0" fillId="0" borderId="0" xfId="0" applyNumberFormat="1"/>
    <xf numFmtId="37" fontId="4" fillId="0" borderId="0" xfId="0" applyNumberFormat="1" applyFont="1"/>
    <xf numFmtId="37" fontId="2" fillId="0" borderId="0" xfId="0" applyNumberFormat="1" applyFont="1"/>
    <xf numFmtId="171" fontId="5" fillId="6" borderId="2" xfId="0" applyNumberFormat="1" applyFont="1" applyFill="1" applyBorder="1"/>
    <xf numFmtId="170" fontId="4" fillId="6" borderId="8" xfId="0" applyNumberFormat="1" applyFont="1" applyFill="1" applyBorder="1" applyAlignment="1">
      <alignment horizontal="left"/>
    </xf>
    <xf numFmtId="171" fontId="6" fillId="6" borderId="2" xfId="0" applyNumberFormat="1" applyFont="1" applyFill="1" applyBorder="1"/>
    <xf numFmtId="37" fontId="12" fillId="0" borderId="0" xfId="0" applyNumberFormat="1" applyFont="1"/>
    <xf numFmtId="37" fontId="5" fillId="6" borderId="1" xfId="0" applyNumberFormat="1" applyFont="1" applyFill="1" applyBorder="1"/>
    <xf numFmtId="37" fontId="5" fillId="6" borderId="2" xfId="0" applyNumberFormat="1" applyFont="1" applyFill="1" applyBorder="1"/>
    <xf numFmtId="37" fontId="5" fillId="6" borderId="1" xfId="0" applyNumberFormat="1" applyFont="1" applyFill="1" applyBorder="1" applyAlignment="1">
      <alignment vertical="center"/>
    </xf>
    <xf numFmtId="0" fontId="15" fillId="7" borderId="1" xfId="1" applyFont="1" applyFill="1" applyBorder="1" applyAlignment="1">
      <alignment horizontal="left"/>
    </xf>
    <xf numFmtId="0" fontId="5" fillId="6" borderId="1" xfId="1" applyFont="1" applyFill="1" applyBorder="1" applyAlignment="1">
      <alignment horizontal="center"/>
    </xf>
    <xf numFmtId="172" fontId="5" fillId="6" borderId="1" xfId="1" applyNumberFormat="1" applyFont="1" applyFill="1" applyBorder="1" applyAlignment="1">
      <alignment horizontal="center"/>
    </xf>
    <xf numFmtId="14" fontId="5" fillId="6" borderId="1" xfId="1" applyNumberFormat="1" applyFont="1" applyFill="1" applyBorder="1" applyAlignment="1">
      <alignment horizontal="center"/>
    </xf>
    <xf numFmtId="0" fontId="5" fillId="6" borderId="1" xfId="0" applyFont="1" applyFill="1" applyBorder="1" applyAlignment="1">
      <alignment horizontal="center"/>
    </xf>
    <xf numFmtId="0" fontId="5" fillId="6" borderId="1" xfId="0" applyFont="1" applyFill="1" applyBorder="1"/>
    <xf numFmtId="0" fontId="0" fillId="6" borderId="1" xfId="0" applyFill="1" applyBorder="1"/>
    <xf numFmtId="0" fontId="6" fillId="6" borderId="1" xfId="0" applyFont="1" applyFill="1" applyBorder="1" applyAlignment="1">
      <alignment horizontal="center"/>
    </xf>
    <xf numFmtId="0" fontId="6" fillId="6" borderId="1" xfId="0" applyFont="1" applyFill="1" applyBorder="1"/>
    <xf numFmtId="0" fontId="0" fillId="6" borderId="1" xfId="0" applyFill="1" applyBorder="1" applyAlignment="1">
      <alignment horizontal="center"/>
    </xf>
    <xf numFmtId="0" fontId="2" fillId="6" borderId="1" xfId="0" applyFont="1" applyFill="1" applyBorder="1"/>
    <xf numFmtId="0" fontId="16" fillId="0" borderId="0" xfId="2"/>
    <xf numFmtId="0" fontId="0" fillId="6" borderId="1" xfId="0" quotePrefix="1" applyFill="1" applyBorder="1"/>
    <xf numFmtId="0" fontId="17" fillId="0" borderId="0" xfId="0" applyFont="1"/>
    <xf numFmtId="3" fontId="6" fillId="6" borderId="1" xfId="0" applyNumberFormat="1" applyFont="1" applyFill="1" applyBorder="1"/>
    <xf numFmtId="3" fontId="18" fillId="6" borderId="1" xfId="0" applyNumberFormat="1" applyFont="1" applyFill="1" applyBorder="1"/>
    <xf numFmtId="174" fontId="6" fillId="6" borderId="1" xfId="0" applyNumberFormat="1" applyFont="1" applyFill="1" applyBorder="1"/>
    <xf numFmtId="4" fontId="6" fillId="6" borderId="1" xfId="0" applyNumberFormat="1" applyFont="1" applyFill="1" applyBorder="1"/>
    <xf numFmtId="4" fontId="18" fillId="6" borderId="1" xfId="0" applyNumberFormat="1" applyFont="1" applyFill="1" applyBorder="1"/>
    <xf numFmtId="165" fontId="5" fillId="0" borderId="2" xfId="0" applyNumberFormat="1" applyFont="1" applyBorder="1"/>
    <xf numFmtId="165" fontId="19" fillId="0" borderId="2" xfId="0" applyNumberFormat="1" applyFont="1" applyBorder="1"/>
    <xf numFmtId="0" fontId="11" fillId="7" borderId="0" xfId="0" applyFont="1" applyFill="1" applyAlignment="1">
      <alignment vertical="center"/>
    </xf>
    <xf numFmtId="37" fontId="6" fillId="0" borderId="0" xfId="0" applyNumberFormat="1" applyFont="1"/>
    <xf numFmtId="0" fontId="20" fillId="0" borderId="0" xfId="0" applyFont="1"/>
    <xf numFmtId="0" fontId="0" fillId="3" borderId="2" xfId="0" applyFill="1" applyBorder="1"/>
    <xf numFmtId="0" fontId="23" fillId="0" borderId="0" xfId="4" applyFont="1" applyAlignment="1">
      <alignment vertical="center"/>
    </xf>
    <xf numFmtId="0" fontId="24" fillId="0" borderId="0" xfId="0" applyFont="1" applyAlignment="1">
      <alignment horizontal="left" vertical="center" indent="1"/>
    </xf>
    <xf numFmtId="0" fontId="23" fillId="0" borderId="0" xfId="0" applyFont="1"/>
    <xf numFmtId="0" fontId="13" fillId="0" borderId="0" xfId="0" applyFont="1" applyAlignment="1">
      <alignment horizontal="left" indent="1"/>
    </xf>
    <xf numFmtId="0" fontId="13" fillId="0" borderId="0" xfId="0" applyFont="1"/>
    <xf numFmtId="174" fontId="19" fillId="0" borderId="0" xfId="0" applyNumberFormat="1" applyFont="1"/>
    <xf numFmtId="174" fontId="20" fillId="0" borderId="0" xfId="0" applyNumberFormat="1" applyFont="1"/>
    <xf numFmtId="174" fontId="21" fillId="0" borderId="0" xfId="0" applyNumberFormat="1" applyFont="1"/>
    <xf numFmtId="0" fontId="0" fillId="0" borderId="0" xfId="0" applyAlignment="1">
      <alignment horizontal="left" indent="1"/>
    </xf>
    <xf numFmtId="174" fontId="19" fillId="6" borderId="1" xfId="0" applyNumberFormat="1" applyFont="1" applyFill="1" applyBorder="1"/>
    <xf numFmtId="175" fontId="19" fillId="6" borderId="1" xfId="0" applyNumberFormat="1" applyFont="1" applyFill="1" applyBorder="1"/>
    <xf numFmtId="1" fontId="19" fillId="6" borderId="1" xfId="0" applyNumberFormat="1" applyFont="1" applyFill="1" applyBorder="1"/>
    <xf numFmtId="175" fontId="6" fillId="6" borderId="1" xfId="0" applyNumberFormat="1" applyFont="1" applyFill="1" applyBorder="1"/>
    <xf numFmtId="0" fontId="12" fillId="0" borderId="0" xfId="0" applyFont="1" applyAlignment="1">
      <alignment horizontal="left" indent="1"/>
    </xf>
    <xf numFmtId="0" fontId="2" fillId="0" borderId="0" xfId="0" applyFont="1" applyAlignment="1">
      <alignment horizontal="center"/>
    </xf>
    <xf numFmtId="3" fontId="20" fillId="6" borderId="1" xfId="0" applyNumberFormat="1" applyFont="1" applyFill="1" applyBorder="1"/>
    <xf numFmtId="3" fontId="22" fillId="6" borderId="1" xfId="0" applyNumberFormat="1" applyFont="1" applyFill="1" applyBorder="1"/>
    <xf numFmtId="3" fontId="5" fillId="0" borderId="1" xfId="0" applyNumberFormat="1" applyFont="1" applyBorder="1"/>
    <xf numFmtId="3" fontId="7" fillId="0" borderId="1" xfId="0" applyNumberFormat="1" applyFont="1" applyBorder="1"/>
    <xf numFmtId="0" fontId="0" fillId="3" borderId="5" xfId="0" applyFill="1" applyBorder="1"/>
    <xf numFmtId="0" fontId="0" fillId="3" borderId="4" xfId="0" applyFill="1" applyBorder="1"/>
    <xf numFmtId="0" fontId="0" fillId="3" borderId="6" xfId="0" applyFill="1" applyBorder="1"/>
    <xf numFmtId="3" fontId="5" fillId="6" borderId="13" xfId="0" applyNumberFormat="1" applyFont="1" applyFill="1" applyBorder="1"/>
    <xf numFmtId="3" fontId="7" fillId="6" borderId="13" xfId="0" applyNumberFormat="1" applyFont="1" applyFill="1" applyBorder="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19" fillId="0" borderId="0" xfId="0" applyFont="1"/>
    <xf numFmtId="0" fontId="19" fillId="0" borderId="16" xfId="0" applyFont="1" applyBorder="1"/>
    <xf numFmtId="0" fontId="19" fillId="0" borderId="17" xfId="0" applyFont="1" applyBorder="1"/>
    <xf numFmtId="0" fontId="19" fillId="0" borderId="18" xfId="0" applyFont="1" applyBorder="1"/>
    <xf numFmtId="0" fontId="19" fillId="0" borderId="19" xfId="0" applyFont="1" applyBorder="1"/>
    <xf numFmtId="0" fontId="19" fillId="0" borderId="20" xfId="0" applyFont="1" applyBorder="1"/>
    <xf numFmtId="0" fontId="19" fillId="0" borderId="21" xfId="0" applyFont="1" applyBorder="1"/>
    <xf numFmtId="0" fontId="1" fillId="9" borderId="23" xfId="0" applyFont="1" applyFill="1" applyBorder="1"/>
    <xf numFmtId="0" fontId="1" fillId="10" borderId="23" xfId="0" applyFont="1" applyFill="1" applyBorder="1"/>
    <xf numFmtId="0" fontId="1" fillId="11" borderId="23" xfId="0" applyFont="1" applyFill="1" applyBorder="1"/>
    <xf numFmtId="0" fontId="1" fillId="12" borderId="23" xfId="0" applyFont="1" applyFill="1" applyBorder="1"/>
    <xf numFmtId="0" fontId="1" fillId="13" borderId="23" xfId="0" applyFont="1" applyFill="1" applyBorder="1"/>
    <xf numFmtId="9" fontId="0" fillId="0" borderId="0" xfId="0" applyNumberFormat="1"/>
    <xf numFmtId="0" fontId="27" fillId="0" borderId="0" xfId="0" applyFont="1"/>
    <xf numFmtId="0" fontId="19" fillId="0" borderId="22" xfId="0" applyFont="1" applyBorder="1"/>
    <xf numFmtId="14" fontId="0" fillId="6" borderId="1" xfId="0" applyNumberFormat="1" applyFill="1" applyBorder="1"/>
    <xf numFmtId="21" fontId="0" fillId="6" borderId="1" xfId="0" applyNumberFormat="1" applyFill="1" applyBorder="1"/>
    <xf numFmtId="174" fontId="25" fillId="6" borderId="1" xfId="0" applyNumberFormat="1" applyFont="1" applyFill="1" applyBorder="1"/>
    <xf numFmtId="0" fontId="0" fillId="15" borderId="0" xfId="0" applyFill="1"/>
    <xf numFmtId="3" fontId="5" fillId="0" borderId="4" xfId="0" applyNumberFormat="1" applyFont="1" applyBorder="1"/>
    <xf numFmtId="3" fontId="7" fillId="0" borderId="4" xfId="0" applyNumberFormat="1" applyFont="1" applyBorder="1"/>
    <xf numFmtId="3" fontId="7" fillId="0" borderId="6" xfId="0" applyNumberFormat="1" applyFont="1" applyBorder="1"/>
    <xf numFmtId="3" fontId="21" fillId="6" borderId="1" xfId="0" applyNumberFormat="1" applyFont="1" applyFill="1" applyBorder="1"/>
    <xf numFmtId="3" fontId="1" fillId="7" borderId="1" xfId="0" applyNumberFormat="1" applyFont="1" applyFill="1" applyBorder="1" applyAlignment="1">
      <alignment horizontal="center"/>
    </xf>
    <xf numFmtId="3" fontId="1" fillId="7" borderId="1" xfId="0" applyNumberFormat="1" applyFont="1" applyFill="1" applyBorder="1" applyAlignment="1">
      <alignment horizontal="left"/>
    </xf>
    <xf numFmtId="176" fontId="1" fillId="7" borderId="5" xfId="0" applyNumberFormat="1" applyFont="1" applyFill="1" applyBorder="1" applyAlignment="1">
      <alignment horizontal="center"/>
    </xf>
    <xf numFmtId="0" fontId="0" fillId="3" borderId="7" xfId="0" applyFill="1" applyBorder="1"/>
    <xf numFmtId="0" fontId="0" fillId="3" borderId="12" xfId="0" applyFill="1" applyBorder="1"/>
    <xf numFmtId="0" fontId="0" fillId="3" borderId="10" xfId="0" applyFill="1" applyBorder="1"/>
    <xf numFmtId="0" fontId="0" fillId="3" borderId="28" xfId="0" applyFill="1" applyBorder="1"/>
    <xf numFmtId="0" fontId="0" fillId="3" borderId="11" xfId="0" applyFill="1" applyBorder="1"/>
    <xf numFmtId="176" fontId="5" fillId="0" borderId="5" xfId="0" applyNumberFormat="1" applyFont="1" applyBorder="1" applyAlignment="1">
      <alignment horizontal="left"/>
    </xf>
    <xf numFmtId="169" fontId="2" fillId="16" borderId="1" xfId="0" applyNumberFormat="1" applyFont="1" applyFill="1" applyBorder="1"/>
    <xf numFmtId="173" fontId="2" fillId="16" borderId="1" xfId="0" applyNumberFormat="1" applyFont="1" applyFill="1" applyBorder="1"/>
    <xf numFmtId="0" fontId="8" fillId="16" borderId="9" xfId="0" applyFont="1" applyFill="1" applyBorder="1"/>
    <xf numFmtId="37" fontId="2" fillId="16" borderId="9" xfId="0" applyNumberFormat="1" applyFont="1" applyFill="1" applyBorder="1"/>
    <xf numFmtId="0" fontId="8" fillId="16" borderId="24" xfId="0" applyFont="1" applyFill="1" applyBorder="1"/>
    <xf numFmtId="37" fontId="2" fillId="16" borderId="25" xfId="0" applyNumberFormat="1" applyFont="1" applyFill="1" applyBorder="1"/>
    <xf numFmtId="37" fontId="2" fillId="16" borderId="26" xfId="0" applyNumberFormat="1" applyFont="1" applyFill="1" applyBorder="1"/>
    <xf numFmtId="37" fontId="2" fillId="16" borderId="9" xfId="0" applyNumberFormat="1" applyFont="1" applyFill="1" applyBorder="1" applyAlignment="1">
      <alignment vertical="center"/>
    </xf>
    <xf numFmtId="3" fontId="2" fillId="16" borderId="9" xfId="0" applyNumberFormat="1" applyFont="1" applyFill="1" applyBorder="1"/>
    <xf numFmtId="174" fontId="2" fillId="16" borderId="2" xfId="0" applyNumberFormat="1" applyFont="1" applyFill="1" applyBorder="1" applyAlignment="1">
      <alignment horizontal="left"/>
    </xf>
    <xf numFmtId="171" fontId="2" fillId="16" borderId="2" xfId="3" applyNumberFormat="1" applyFont="1" applyFill="1" applyBorder="1" applyAlignment="1">
      <alignment horizontal="right"/>
    </xf>
    <xf numFmtId="171" fontId="2" fillId="16" borderId="2" xfId="3" applyNumberFormat="1" applyFont="1" applyFill="1" applyBorder="1"/>
    <xf numFmtId="170" fontId="8" fillId="16" borderId="6" xfId="0" applyNumberFormat="1" applyFont="1" applyFill="1" applyBorder="1" applyAlignment="1">
      <alignment horizontal="left"/>
    </xf>
    <xf numFmtId="171" fontId="20" fillId="16" borderId="2" xfId="0" applyNumberFormat="1" applyFont="1" applyFill="1" applyBorder="1"/>
    <xf numFmtId="170" fontId="22" fillId="16" borderId="6" xfId="0" applyNumberFormat="1" applyFont="1" applyFill="1" applyBorder="1" applyAlignment="1">
      <alignment horizontal="left"/>
    </xf>
    <xf numFmtId="169" fontId="2" fillId="16" borderId="2" xfId="0" applyNumberFormat="1" applyFont="1" applyFill="1" applyBorder="1"/>
    <xf numFmtId="170" fontId="4" fillId="6" borderId="6" xfId="0" applyNumberFormat="1" applyFont="1" applyFill="1" applyBorder="1" applyAlignment="1">
      <alignment horizontal="left" indent="1"/>
    </xf>
    <xf numFmtId="170" fontId="0" fillId="6" borderId="5" xfId="0" applyNumberFormat="1" applyFill="1" applyBorder="1" applyAlignment="1">
      <alignment horizontal="left" indent="1"/>
    </xf>
    <xf numFmtId="0" fontId="0" fillId="6" borderId="5" xfId="0" applyFill="1" applyBorder="1" applyAlignment="1">
      <alignment horizontal="left" indent="1"/>
    </xf>
    <xf numFmtId="0" fontId="1" fillId="2" borderId="5" xfId="0" applyFont="1" applyFill="1" applyBorder="1" applyAlignment="1">
      <alignment horizontal="left"/>
    </xf>
    <xf numFmtId="3" fontId="2" fillId="16" borderId="13" xfId="0" applyNumberFormat="1" applyFont="1" applyFill="1" applyBorder="1"/>
    <xf numFmtId="0" fontId="0" fillId="6" borderId="30" xfId="0" applyFill="1" applyBorder="1" applyAlignment="1">
      <alignment horizontal="left" indent="1"/>
    </xf>
    <xf numFmtId="171" fontId="5" fillId="6" borderId="29" xfId="0" applyNumberFormat="1" applyFont="1" applyFill="1" applyBorder="1"/>
    <xf numFmtId="0" fontId="8" fillId="16" borderId="13" xfId="0" applyFont="1" applyFill="1" applyBorder="1"/>
    <xf numFmtId="3" fontId="2" fillId="0" borderId="12" xfId="0" applyNumberFormat="1" applyFont="1" applyBorder="1"/>
    <xf numFmtId="0" fontId="8" fillId="0" borderId="2" xfId="0" applyFont="1" applyBorder="1"/>
    <xf numFmtId="170" fontId="4" fillId="6" borderId="27" xfId="0" applyNumberFormat="1" applyFont="1" applyFill="1" applyBorder="1" applyAlignment="1">
      <alignment horizontal="left"/>
    </xf>
    <xf numFmtId="37" fontId="2" fillId="16" borderId="13" xfId="0" applyNumberFormat="1" applyFont="1" applyFill="1" applyBorder="1"/>
    <xf numFmtId="174" fontId="5" fillId="0" borderId="0" xfId="0" applyNumberFormat="1" applyFont="1"/>
    <xf numFmtId="37" fontId="5" fillId="0" borderId="0" xfId="0" applyNumberFormat="1" applyFont="1"/>
    <xf numFmtId="0" fontId="28" fillId="0" borderId="0" xfId="0" applyFont="1"/>
    <xf numFmtId="0" fontId="2" fillId="0" borderId="0" xfId="0" applyFont="1" applyAlignment="1">
      <alignment vertical="top"/>
    </xf>
    <xf numFmtId="0" fontId="0" fillId="3" borderId="0" xfId="0" applyFill="1"/>
    <xf numFmtId="3" fontId="6" fillId="0" borderId="0" xfId="0" applyNumberFormat="1" applyFont="1"/>
    <xf numFmtId="171" fontId="0" fillId="0" borderId="0" xfId="3" applyNumberFormat="1" applyFont="1"/>
    <xf numFmtId="171" fontId="0" fillId="0" borderId="0" xfId="0" applyNumberFormat="1"/>
    <xf numFmtId="3" fontId="18" fillId="6" borderId="2" xfId="0" applyNumberFormat="1" applyFont="1" applyFill="1" applyBorder="1"/>
    <xf numFmtId="37" fontId="6" fillId="6" borderId="1" xfId="0" applyNumberFormat="1" applyFont="1" applyFill="1" applyBorder="1"/>
    <xf numFmtId="37" fontId="6" fillId="6" borderId="2" xfId="0" applyNumberFormat="1" applyFont="1" applyFill="1" applyBorder="1"/>
    <xf numFmtId="178" fontId="0" fillId="0" borderId="0" xfId="0" applyNumberFormat="1"/>
    <xf numFmtId="177" fontId="0" fillId="0" borderId="0" xfId="0" applyNumberFormat="1"/>
    <xf numFmtId="0" fontId="1" fillId="2" borderId="2" xfId="0" applyFont="1" applyFill="1" applyBorder="1"/>
    <xf numFmtId="170" fontId="4" fillId="0" borderId="0" xfId="0" applyNumberFormat="1" applyFont="1" applyAlignment="1">
      <alignment horizontal="left"/>
    </xf>
    <xf numFmtId="170" fontId="4" fillId="0" borderId="0" xfId="0" applyNumberFormat="1" applyFont="1" applyAlignment="1">
      <alignment horizontal="left" indent="1"/>
    </xf>
    <xf numFmtId="3" fontId="19" fillId="0" borderId="0" xfId="0" applyNumberFormat="1" applyFont="1"/>
    <xf numFmtId="0" fontId="2" fillId="0" borderId="35" xfId="0" applyFont="1" applyBorder="1"/>
    <xf numFmtId="178" fontId="2" fillId="0" borderId="0" xfId="0" applyNumberFormat="1" applyFont="1"/>
    <xf numFmtId="0" fontId="2" fillId="0" borderId="34" xfId="0" applyFont="1" applyBorder="1"/>
    <xf numFmtId="171" fontId="2" fillId="0" borderId="34" xfId="3" applyNumberFormat="1" applyFont="1" applyBorder="1"/>
    <xf numFmtId="0" fontId="2" fillId="0" borderId="36" xfId="0" applyFont="1" applyBorder="1"/>
    <xf numFmtId="169" fontId="0" fillId="0" borderId="0" xfId="0" applyNumberFormat="1"/>
    <xf numFmtId="173" fontId="2" fillId="16" borderId="0" xfId="0" applyNumberFormat="1" applyFont="1" applyFill="1"/>
    <xf numFmtId="1" fontId="0" fillId="0" borderId="0" xfId="0" applyNumberFormat="1"/>
    <xf numFmtId="37" fontId="0" fillId="6" borderId="1" xfId="0" applyNumberFormat="1" applyFill="1" applyBorder="1"/>
    <xf numFmtId="0" fontId="0" fillId="0" borderId="36" xfId="0" applyBorder="1"/>
    <xf numFmtId="0" fontId="8" fillId="16" borderId="37" xfId="0" applyFont="1" applyFill="1" applyBorder="1"/>
    <xf numFmtId="3" fontId="2" fillId="16" borderId="38" xfId="0" applyNumberFormat="1" applyFont="1" applyFill="1" applyBorder="1"/>
    <xf numFmtId="0" fontId="0" fillId="3" borderId="8" xfId="0" applyFill="1" applyBorder="1"/>
    <xf numFmtId="171" fontId="6" fillId="6" borderId="29" xfId="0" applyNumberFormat="1" applyFont="1" applyFill="1" applyBorder="1"/>
    <xf numFmtId="171" fontId="0" fillId="6" borderId="2" xfId="0" applyNumberFormat="1" applyFill="1" applyBorder="1"/>
    <xf numFmtId="3" fontId="30" fillId="6" borderId="1" xfId="0" applyNumberFormat="1" applyFont="1" applyFill="1" applyBorder="1"/>
    <xf numFmtId="3" fontId="18" fillId="6" borderId="13" xfId="0" applyNumberFormat="1" applyFont="1" applyFill="1" applyBorder="1"/>
    <xf numFmtId="171" fontId="19" fillId="6" borderId="2" xfId="0" applyNumberFormat="1" applyFont="1" applyFill="1" applyBorder="1"/>
    <xf numFmtId="37" fontId="14" fillId="0" borderId="0" xfId="0" applyNumberFormat="1" applyFont="1"/>
    <xf numFmtId="1" fontId="14" fillId="0" borderId="0" xfId="0" applyNumberFormat="1" applyFont="1"/>
    <xf numFmtId="1" fontId="17" fillId="0" borderId="0" xfId="0" applyNumberFormat="1" applyFont="1"/>
    <xf numFmtId="1" fontId="19" fillId="0" borderId="0" xfId="0" applyNumberFormat="1" applyFont="1"/>
    <xf numFmtId="0" fontId="26" fillId="0" borderId="0" xfId="0" applyFont="1" applyAlignment="1">
      <alignment horizontal="center"/>
    </xf>
    <xf numFmtId="0" fontId="19" fillId="17" borderId="0" xfId="0" applyFont="1" applyFill="1"/>
    <xf numFmtId="0" fontId="31" fillId="0" borderId="0" xfId="0" applyFont="1"/>
    <xf numFmtId="0" fontId="0" fillId="0" borderId="0" xfId="0" applyAlignment="1">
      <alignment vertical="top" wrapText="1"/>
    </xf>
    <xf numFmtId="0" fontId="0" fillId="0" borderId="0" xfId="0" applyAlignment="1">
      <alignment vertical="center"/>
    </xf>
    <xf numFmtId="0" fontId="19" fillId="0" borderId="39" xfId="0" applyFont="1" applyBorder="1"/>
    <xf numFmtId="0" fontId="29" fillId="0" borderId="0" xfId="0" applyFont="1" applyAlignment="1">
      <alignment horizontal="left" vertical="center" wrapText="1"/>
    </xf>
    <xf numFmtId="0" fontId="33" fillId="0" borderId="0" xfId="0" applyFont="1" applyAlignment="1">
      <alignment horizontal="left" vertical="center" wrapText="1"/>
    </xf>
    <xf numFmtId="0" fontId="8" fillId="16" borderId="10" xfId="0" applyFont="1" applyFill="1" applyBorder="1" applyAlignment="1">
      <alignment horizontal="left" vertical="center" wrapText="1"/>
    </xf>
    <xf numFmtId="0" fontId="0" fillId="3" borderId="7" xfId="0" applyFill="1" applyBorder="1" applyAlignment="1">
      <alignment horizontal="center"/>
    </xf>
    <xf numFmtId="0" fontId="11" fillId="7" borderId="0" xfId="0" applyFont="1" applyFill="1" applyAlignment="1">
      <alignment horizontal="left" vertical="center"/>
    </xf>
    <xf numFmtId="0" fontId="0" fillId="3" borderId="3" xfId="0" applyFill="1" applyBorder="1" applyAlignment="1">
      <alignment horizontal="center"/>
    </xf>
    <xf numFmtId="0" fontId="11" fillId="7" borderId="31" xfId="0" applyFont="1" applyFill="1" applyBorder="1" applyAlignment="1">
      <alignment horizontal="left" vertical="center"/>
    </xf>
    <xf numFmtId="170" fontId="4" fillId="6" borderId="4" xfId="0" applyNumberFormat="1" applyFont="1" applyFill="1" applyBorder="1" applyAlignment="1">
      <alignment wrapText="1"/>
    </xf>
    <xf numFmtId="0" fontId="12" fillId="3" borderId="4" xfId="0" applyFont="1" applyFill="1" applyBorder="1"/>
    <xf numFmtId="174" fontId="25" fillId="6" borderId="1" xfId="0" applyNumberFormat="1" applyFont="1" applyFill="1" applyBorder="1" applyAlignment="1">
      <alignment horizontal="center"/>
    </xf>
    <xf numFmtId="174" fontId="12" fillId="0" borderId="0" xfId="0" applyNumberFormat="1" applyFont="1"/>
    <xf numFmtId="0" fontId="12" fillId="3" borderId="5" xfId="0" applyFont="1" applyFill="1" applyBorder="1"/>
    <xf numFmtId="174" fontId="37" fillId="6" borderId="1" xfId="0" applyNumberFormat="1" applyFont="1" applyFill="1" applyBorder="1"/>
    <xf numFmtId="0" fontId="12" fillId="3" borderId="7" xfId="0" applyFont="1" applyFill="1" applyBorder="1"/>
    <xf numFmtId="0" fontId="12" fillId="3" borderId="12" xfId="0" applyFont="1" applyFill="1" applyBorder="1"/>
    <xf numFmtId="174" fontId="37" fillId="6" borderId="2" xfId="0" applyNumberFormat="1" applyFont="1" applyFill="1" applyBorder="1"/>
    <xf numFmtId="0" fontId="0" fillId="6" borderId="5" xfId="0" applyFill="1" applyBorder="1" applyAlignment="1">
      <alignment horizontal="left" indent="2"/>
    </xf>
    <xf numFmtId="0" fontId="0" fillId="6" borderId="0" xfId="0" applyFill="1" applyAlignment="1">
      <alignment horizontal="left" indent="2"/>
    </xf>
    <xf numFmtId="0" fontId="0" fillId="6" borderId="5" xfId="0" applyFill="1" applyBorder="1" applyAlignment="1">
      <alignment horizontal="left" indent="3"/>
    </xf>
    <xf numFmtId="0" fontId="0" fillId="6" borderId="5" xfId="0" applyFill="1" applyBorder="1" applyAlignment="1">
      <alignment horizontal="left" vertical="top" wrapText="1" indent="3"/>
    </xf>
    <xf numFmtId="0" fontId="0" fillId="6" borderId="0" xfId="0" applyFill="1" applyAlignment="1">
      <alignment horizontal="left" indent="3"/>
    </xf>
    <xf numFmtId="0" fontId="0" fillId="6" borderId="5" xfId="0" applyFill="1" applyBorder="1" applyAlignment="1">
      <alignment horizontal="left" wrapText="1" indent="2"/>
    </xf>
    <xf numFmtId="0" fontId="0" fillId="6" borderId="7" xfId="0" applyFill="1" applyBorder="1" applyAlignment="1">
      <alignment horizontal="left" indent="2"/>
    </xf>
    <xf numFmtId="0" fontId="1" fillId="2" borderId="3" xfId="0" applyFont="1" applyFill="1" applyBorder="1" applyAlignment="1">
      <alignment horizontal="centerContinuous"/>
    </xf>
    <xf numFmtId="0" fontId="1" fillId="2" borderId="0" xfId="0" applyFont="1" applyFill="1" applyAlignment="1">
      <alignment horizontal="centerContinuous"/>
    </xf>
    <xf numFmtId="171" fontId="5" fillId="8" borderId="5" xfId="0" applyNumberFormat="1" applyFont="1" applyFill="1" applyBorder="1"/>
    <xf numFmtId="171" fontId="5" fillId="8" borderId="4" xfId="0" applyNumberFormat="1" applyFont="1" applyFill="1" applyBorder="1"/>
    <xf numFmtId="171" fontId="5" fillId="8" borderId="6" xfId="0" applyNumberFormat="1" applyFont="1" applyFill="1" applyBorder="1"/>
    <xf numFmtId="0" fontId="39" fillId="17" borderId="0" xfId="0" applyFont="1" applyFill="1" applyAlignment="1">
      <alignment vertical="top" wrapText="1"/>
    </xf>
    <xf numFmtId="0" fontId="39" fillId="17" borderId="22" xfId="0" applyFont="1" applyFill="1" applyBorder="1" applyAlignment="1">
      <alignment vertical="top" wrapText="1"/>
    </xf>
    <xf numFmtId="0" fontId="40" fillId="17" borderId="0" xfId="0" applyFont="1" applyFill="1"/>
    <xf numFmtId="3" fontId="40" fillId="17" borderId="0" xfId="0" applyNumberFormat="1" applyFont="1" applyFill="1" applyAlignment="1">
      <alignment horizontal="left"/>
    </xf>
    <xf numFmtId="0" fontId="39" fillId="17" borderId="0" xfId="0" applyFont="1" applyFill="1" applyAlignment="1">
      <alignment horizontal="centerContinuous"/>
    </xf>
    <xf numFmtId="0" fontId="41" fillId="17" borderId="0" xfId="0" applyFont="1" applyFill="1"/>
    <xf numFmtId="3" fontId="40" fillId="17" borderId="0" xfId="0" applyNumberFormat="1" applyFont="1" applyFill="1" applyAlignment="1">
      <alignment horizontal="centerContinuous"/>
    </xf>
    <xf numFmtId="0" fontId="39" fillId="0" borderId="0" xfId="0" applyFont="1"/>
    <xf numFmtId="0" fontId="43" fillId="0" borderId="0" xfId="0" applyFont="1" applyAlignment="1">
      <alignment horizontal="left" vertical="center" wrapText="1"/>
    </xf>
    <xf numFmtId="0" fontId="41" fillId="0" borderId="0" xfId="0" applyFont="1"/>
    <xf numFmtId="164" fontId="48" fillId="0" borderId="43" xfId="0" applyNumberFormat="1" applyFont="1" applyBorder="1" applyAlignment="1">
      <alignment horizontal="centerContinuous"/>
    </xf>
    <xf numFmtId="164" fontId="48" fillId="0" borderId="44" xfId="0" applyNumberFormat="1" applyFont="1" applyBorder="1" applyAlignment="1">
      <alignment horizontal="centerContinuous"/>
    </xf>
    <xf numFmtId="0" fontId="49" fillId="0" borderId="0" xfId="0" applyFont="1"/>
    <xf numFmtId="0" fontId="39" fillId="0" borderId="18" xfId="0" applyFont="1" applyBorder="1"/>
    <xf numFmtId="0" fontId="39" fillId="0" borderId="17" xfId="0" applyFont="1" applyBorder="1"/>
    <xf numFmtId="0" fontId="39" fillId="0" borderId="16" xfId="0" applyFont="1" applyBorder="1"/>
    <xf numFmtId="0" fontId="39" fillId="17" borderId="0" xfId="0" applyFont="1" applyFill="1"/>
    <xf numFmtId="0" fontId="39" fillId="0" borderId="22" xfId="0" applyFont="1" applyBorder="1"/>
    <xf numFmtId="0" fontId="39" fillId="0" borderId="21" xfId="0" applyFont="1" applyBorder="1"/>
    <xf numFmtId="0" fontId="39" fillId="0" borderId="39" xfId="0" applyFont="1" applyBorder="1"/>
    <xf numFmtId="0" fontId="39" fillId="0" borderId="20" xfId="0" applyFont="1" applyBorder="1"/>
    <xf numFmtId="0" fontId="39" fillId="0" borderId="19" xfId="0" applyFont="1" applyBorder="1"/>
    <xf numFmtId="0" fontId="50" fillId="0" borderId="0" xfId="0" applyFont="1"/>
    <xf numFmtId="0" fontId="19" fillId="0" borderId="0" xfId="0" applyFont="1" applyAlignment="1">
      <alignment horizontal="centerContinuous"/>
    </xf>
    <xf numFmtId="0" fontId="51" fillId="0" borderId="0" xfId="2" applyFont="1" applyAlignment="1">
      <alignment horizontal="left"/>
    </xf>
    <xf numFmtId="0" fontId="17" fillId="0" borderId="0" xfId="0" applyFont="1" applyAlignment="1">
      <alignment horizontal="center"/>
    </xf>
    <xf numFmtId="164" fontId="52" fillId="0" borderId="0" xfId="0" applyNumberFormat="1" applyFont="1" applyAlignment="1">
      <alignment horizontal="centerContinuous"/>
    </xf>
    <xf numFmtId="164" fontId="53" fillId="0" borderId="0" xfId="0" applyNumberFormat="1" applyFont="1" applyAlignment="1">
      <alignment horizontal="centerContinuous"/>
    </xf>
    <xf numFmtId="0" fontId="2" fillId="0" borderId="34" xfId="0" applyFont="1" applyBorder="1" applyAlignment="1">
      <alignment horizontal="left" indent="1"/>
    </xf>
    <xf numFmtId="0" fontId="0" fillId="0" borderId="0" xfId="0" applyAlignment="1">
      <alignment horizontal="left"/>
    </xf>
    <xf numFmtId="171" fontId="6" fillId="0" borderId="0" xfId="3" applyNumberFormat="1" applyFont="1"/>
    <xf numFmtId="171" fontId="0" fillId="18" borderId="0" xfId="3" applyNumberFormat="1" applyFont="1" applyFill="1"/>
    <xf numFmtId="0" fontId="0" fillId="14" borderId="0" xfId="0" applyFill="1" applyAlignment="1">
      <alignment wrapText="1"/>
    </xf>
    <xf numFmtId="0" fontId="20" fillId="0" borderId="34" xfId="0" applyFont="1" applyBorder="1"/>
    <xf numFmtId="0" fontId="0" fillId="0" borderId="0" xfId="0" quotePrefix="1"/>
    <xf numFmtId="0" fontId="0" fillId="0" borderId="0" xfId="0" quotePrefix="1" applyAlignment="1">
      <alignment horizontal="left" indent="1"/>
    </xf>
    <xf numFmtId="9" fontId="0" fillId="0" borderId="0" xfId="3" applyNumberFormat="1" applyFont="1"/>
    <xf numFmtId="165" fontId="0" fillId="0" borderId="0" xfId="0" applyNumberFormat="1"/>
    <xf numFmtId="37" fontId="19" fillId="6" borderId="1" xfId="0" applyNumberFormat="1" applyFont="1" applyFill="1" applyBorder="1"/>
    <xf numFmtId="37" fontId="19" fillId="6" borderId="2" xfId="0" applyNumberFormat="1" applyFont="1" applyFill="1" applyBorder="1"/>
    <xf numFmtId="0" fontId="2" fillId="0" borderId="0" xfId="0" applyFont="1" applyAlignment="1">
      <alignment horizontal="left"/>
    </xf>
    <xf numFmtId="0" fontId="2" fillId="0" borderId="0" xfId="0" applyFont="1" applyAlignment="1">
      <alignment horizontal="left" indent="1"/>
    </xf>
    <xf numFmtId="171" fontId="2" fillId="0" borderId="0" xfId="3" applyNumberFormat="1" applyFont="1"/>
    <xf numFmtId="9" fontId="2" fillId="0" borderId="0" xfId="3" applyNumberFormat="1" applyFont="1"/>
    <xf numFmtId="39" fontId="0" fillId="0" borderId="0" xfId="0" applyNumberFormat="1"/>
    <xf numFmtId="179" fontId="0" fillId="0" borderId="0" xfId="3" applyNumberFormat="1" applyFont="1"/>
    <xf numFmtId="0" fontId="19" fillId="14" borderId="0" xfId="5" applyFont="1" applyFill="1" applyAlignment="1">
      <alignment horizontal="center" vertical="center"/>
    </xf>
    <xf numFmtId="0" fontId="19" fillId="14" borderId="0" xfId="5" applyFont="1" applyFill="1" applyAlignment="1">
      <alignment horizontal="left" vertical="center"/>
    </xf>
    <xf numFmtId="0" fontId="19" fillId="14" borderId="0" xfId="5" applyFont="1" applyFill="1" applyAlignment="1">
      <alignment vertical="center"/>
    </xf>
    <xf numFmtId="0" fontId="58" fillId="0" borderId="0" xfId="6" applyFont="1" applyAlignment="1">
      <alignment vertical="center"/>
    </xf>
    <xf numFmtId="0" fontId="19" fillId="14" borderId="0" xfId="5" quotePrefix="1" applyFont="1" applyFill="1" applyAlignment="1">
      <alignment horizontal="left" vertical="center"/>
    </xf>
    <xf numFmtId="0" fontId="19" fillId="14" borderId="0" xfId="5" applyFont="1" applyFill="1" applyAlignment="1" applyProtection="1">
      <alignment horizontal="left" vertical="center"/>
      <protection locked="0"/>
    </xf>
    <xf numFmtId="0" fontId="19" fillId="0" borderId="0" xfId="5" applyFont="1" applyAlignment="1">
      <alignment vertical="center"/>
    </xf>
    <xf numFmtId="0" fontId="20" fillId="14" borderId="0" xfId="5" applyFont="1" applyFill="1" applyAlignment="1">
      <alignment horizontal="center" vertical="center"/>
    </xf>
    <xf numFmtId="0" fontId="20" fillId="14" borderId="0" xfId="5" applyFont="1" applyFill="1" applyAlignment="1">
      <alignment horizontal="left" vertical="center"/>
    </xf>
    <xf numFmtId="0" fontId="19" fillId="14" borderId="0" xfId="7" applyFont="1" applyFill="1" applyAlignment="1">
      <alignment vertical="center"/>
    </xf>
    <xf numFmtId="0" fontId="0" fillId="0" borderId="46" xfId="0" applyBorder="1"/>
    <xf numFmtId="171" fontId="0" fillId="0" borderId="46" xfId="3" applyNumberFormat="1" applyFont="1" applyBorder="1"/>
    <xf numFmtId="0" fontId="0" fillId="18" borderId="0" xfId="0" applyFill="1"/>
    <xf numFmtId="165" fontId="0" fillId="18" borderId="0" xfId="3" applyFont="1" applyFill="1"/>
    <xf numFmtId="174" fontId="0" fillId="0" borderId="0" xfId="0" applyNumberFormat="1"/>
    <xf numFmtId="10" fontId="0" fillId="0" borderId="0" xfId="0" applyNumberFormat="1"/>
    <xf numFmtId="14" fontId="0" fillId="0" borderId="0" xfId="0" applyNumberFormat="1"/>
    <xf numFmtId="0" fontId="13" fillId="0" borderId="0" xfId="8"/>
    <xf numFmtId="0" fontId="2" fillId="0" borderId="0" xfId="8" applyFont="1"/>
    <xf numFmtId="0" fontId="13" fillId="0" borderId="50" xfId="8" applyBorder="1"/>
    <xf numFmtId="0" fontId="13" fillId="0" borderId="35" xfId="8" applyBorder="1"/>
    <xf numFmtId="2" fontId="0" fillId="0" borderId="0" xfId="0" applyNumberFormat="1"/>
    <xf numFmtId="181" fontId="0" fillId="0" borderId="0" xfId="0" applyNumberFormat="1"/>
    <xf numFmtId="0" fontId="0" fillId="19" borderId="0" xfId="0" applyFill="1"/>
    <xf numFmtId="9" fontId="19" fillId="0" borderId="0" xfId="10" applyFont="1" applyFill="1" applyBorder="1" applyAlignment="1">
      <alignment horizontal="center" vertical="center"/>
    </xf>
    <xf numFmtId="184" fontId="19" fillId="0" borderId="0" xfId="11" applyNumberFormat="1" applyFont="1" applyFill="1" applyBorder="1" applyAlignment="1">
      <alignment horizontal="center" vertical="center"/>
    </xf>
    <xf numFmtId="37" fontId="19" fillId="0" borderId="0" xfId="11" applyNumberFormat="1" applyFont="1" applyFill="1" applyBorder="1" applyAlignment="1">
      <alignment horizontal="center" vertical="center"/>
    </xf>
    <xf numFmtId="37" fontId="19" fillId="0" borderId="0" xfId="3" applyNumberFormat="1" applyFont="1" applyFill="1" applyBorder="1" applyAlignment="1">
      <alignment horizontal="center" vertical="center"/>
    </xf>
    <xf numFmtId="0" fontId="19" fillId="0" borderId="0" xfId="9" applyFont="1" applyAlignment="1">
      <alignment vertical="center"/>
    </xf>
    <xf numFmtId="0" fontId="19" fillId="0" borderId="0" xfId="9" applyFont="1" applyAlignment="1">
      <alignment vertical="center" wrapText="1"/>
    </xf>
    <xf numFmtId="174" fontId="15" fillId="0" borderId="0" xfId="0" applyNumberFormat="1" applyFont="1"/>
    <xf numFmtId="174" fontId="66" fillId="0" borderId="0" xfId="0" applyNumberFormat="1" applyFont="1" applyAlignment="1">
      <alignment horizontal="left"/>
    </xf>
    <xf numFmtId="170" fontId="4" fillId="0" borderId="6" xfId="0" applyNumberFormat="1" applyFont="1" applyBorder="1" applyAlignment="1">
      <alignment horizontal="left"/>
    </xf>
    <xf numFmtId="171" fontId="0" fillId="3" borderId="0" xfId="3" applyNumberFormat="1" applyFont="1" applyFill="1"/>
    <xf numFmtId="171" fontId="0" fillId="3" borderId="34" xfId="3" applyNumberFormat="1" applyFont="1" applyFill="1" applyBorder="1"/>
    <xf numFmtId="171" fontId="0" fillId="6" borderId="0" xfId="3" applyNumberFormat="1" applyFont="1" applyFill="1"/>
    <xf numFmtId="171" fontId="5" fillId="6" borderId="0" xfId="3" applyNumberFormat="1" applyFont="1" applyFill="1"/>
    <xf numFmtId="171" fontId="2" fillId="6" borderId="34" xfId="3" applyNumberFormat="1" applyFont="1" applyFill="1" applyBorder="1"/>
    <xf numFmtId="171" fontId="54" fillId="6" borderId="34" xfId="3" applyNumberFormat="1" applyFont="1" applyFill="1" applyBorder="1"/>
    <xf numFmtId="171" fontId="6" fillId="6" borderId="1" xfId="3" applyNumberFormat="1" applyFont="1" applyFill="1" applyBorder="1"/>
    <xf numFmtId="171" fontId="5" fillId="6" borderId="1" xfId="3" applyNumberFormat="1" applyFont="1" applyFill="1" applyBorder="1"/>
    <xf numFmtId="171" fontId="0" fillId="6" borderId="1" xfId="3" applyNumberFormat="1" applyFont="1" applyFill="1" applyBorder="1"/>
    <xf numFmtId="171" fontId="2" fillId="6" borderId="1" xfId="3" applyNumberFormat="1" applyFont="1" applyFill="1" applyBorder="1"/>
    <xf numFmtId="171" fontId="0" fillId="6" borderId="2" xfId="3" applyNumberFormat="1" applyFont="1" applyFill="1" applyBorder="1"/>
    <xf numFmtId="0" fontId="2" fillId="0" borderId="52" xfId="0" applyFont="1" applyBorder="1"/>
    <xf numFmtId="171" fontId="2" fillId="6" borderId="53" xfId="3" applyNumberFormat="1" applyFont="1" applyFill="1" applyBorder="1"/>
    <xf numFmtId="171" fontId="0" fillId="6" borderId="53" xfId="3" applyNumberFormat="1" applyFont="1" applyFill="1" applyBorder="1"/>
    <xf numFmtId="171" fontId="5" fillId="6" borderId="2" xfId="3" applyNumberFormat="1" applyFont="1" applyFill="1" applyBorder="1"/>
    <xf numFmtId="171" fontId="2" fillId="0" borderId="52" xfId="3" applyNumberFormat="1" applyFont="1" applyBorder="1"/>
    <xf numFmtId="3" fontId="20" fillId="0" borderId="1" xfId="0" applyNumberFormat="1" applyFont="1" applyBorder="1"/>
    <xf numFmtId="3" fontId="19" fillId="0" borderId="1" xfId="0" applyNumberFormat="1" applyFont="1" applyBorder="1"/>
    <xf numFmtId="3" fontId="25" fillId="0" borderId="1" xfId="0" applyNumberFormat="1" applyFont="1" applyBorder="1" applyAlignment="1">
      <alignment horizontal="left" indent="1"/>
    </xf>
    <xf numFmtId="3" fontId="20" fillId="0" borderId="13" xfId="0" applyNumberFormat="1" applyFont="1" applyBorder="1"/>
    <xf numFmtId="0" fontId="1" fillId="0" borderId="1" xfId="0" applyFont="1" applyBorder="1"/>
    <xf numFmtId="0" fontId="36" fillId="0" borderId="32" xfId="0" applyFont="1" applyBorder="1" applyAlignment="1">
      <alignment horizontal="left" indent="1"/>
    </xf>
    <xf numFmtId="171" fontId="4" fillId="0" borderId="2" xfId="0" applyNumberFormat="1" applyFont="1" applyBorder="1" applyAlignment="1">
      <alignment horizontal="left"/>
    </xf>
    <xf numFmtId="171" fontId="4" fillId="0" borderId="1" xfId="0" applyNumberFormat="1" applyFont="1" applyBorder="1"/>
    <xf numFmtId="0" fontId="4" fillId="0" borderId="1" xfId="0" applyFont="1" applyBorder="1"/>
    <xf numFmtId="3" fontId="19" fillId="0" borderId="1" xfId="0" applyNumberFormat="1" applyFont="1" applyBorder="1" applyAlignment="1">
      <alignment horizontal="left" indent="1"/>
    </xf>
    <xf numFmtId="3" fontId="25" fillId="0" borderId="1" xfId="0" applyNumberFormat="1" applyFont="1" applyBorder="1" applyAlignment="1">
      <alignment horizontal="left" indent="2"/>
    </xf>
    <xf numFmtId="3" fontId="25" fillId="0" borderId="2" xfId="0" applyNumberFormat="1" applyFont="1" applyBorder="1" applyAlignment="1">
      <alignment horizontal="left" indent="2"/>
    </xf>
    <xf numFmtId="3" fontId="19" fillId="0" borderId="9" xfId="0" applyNumberFormat="1" applyFont="1" applyBorder="1" applyAlignment="1">
      <alignment horizontal="left" indent="1"/>
    </xf>
    <xf numFmtId="3" fontId="20" fillId="0" borderId="9" xfId="0" applyNumberFormat="1" applyFont="1" applyBorder="1"/>
    <xf numFmtId="174" fontId="12" fillId="6" borderId="1" xfId="0" applyNumberFormat="1" applyFont="1" applyFill="1" applyBorder="1"/>
    <xf numFmtId="3" fontId="0" fillId="6" borderId="1" xfId="0" applyNumberFormat="1" applyFill="1" applyBorder="1"/>
    <xf numFmtId="186" fontId="0" fillId="0" borderId="0" xfId="3" applyNumberFormat="1" applyFont="1"/>
    <xf numFmtId="178" fontId="5" fillId="6" borderId="1" xfId="0" applyNumberFormat="1" applyFont="1" applyFill="1" applyBorder="1"/>
    <xf numFmtId="171" fontId="0" fillId="6" borderId="1" xfId="0" applyNumberFormat="1" applyFill="1" applyBorder="1"/>
    <xf numFmtId="178" fontId="5" fillId="6" borderId="2" xfId="0" applyNumberFormat="1" applyFont="1" applyFill="1" applyBorder="1"/>
    <xf numFmtId="177" fontId="0" fillId="6" borderId="1" xfId="0" applyNumberFormat="1" applyFill="1" applyBorder="1"/>
    <xf numFmtId="171" fontId="19" fillId="6" borderId="1" xfId="3" applyNumberFormat="1" applyFont="1" applyFill="1" applyBorder="1"/>
    <xf numFmtId="171" fontId="5" fillId="6" borderId="1" xfId="0" applyNumberFormat="1" applyFont="1" applyFill="1" applyBorder="1"/>
    <xf numFmtId="178" fontId="2" fillId="6" borderId="54" xfId="0" applyNumberFormat="1" applyFont="1" applyFill="1" applyBorder="1"/>
    <xf numFmtId="178" fontId="5" fillId="6" borderId="32" xfId="0" applyNumberFormat="1" applyFont="1" applyFill="1" applyBorder="1"/>
    <xf numFmtId="171" fontId="0" fillId="6" borderId="32" xfId="0" applyNumberFormat="1" applyFill="1" applyBorder="1"/>
    <xf numFmtId="178" fontId="2" fillId="6" borderId="53" xfId="0" applyNumberFormat="1" applyFont="1" applyFill="1" applyBorder="1"/>
    <xf numFmtId="178" fontId="2" fillId="6" borderId="55" xfId="0" applyNumberFormat="1" applyFont="1" applyFill="1" applyBorder="1"/>
    <xf numFmtId="171" fontId="2" fillId="6" borderId="55" xfId="3" applyNumberFormat="1" applyFont="1" applyFill="1" applyBorder="1"/>
    <xf numFmtId="171" fontId="19" fillId="6" borderId="2" xfId="3" applyNumberFormat="1" applyFont="1" applyFill="1" applyBorder="1"/>
    <xf numFmtId="171" fontId="2" fillId="6" borderId="54" xfId="0" applyNumberFormat="1" applyFont="1" applyFill="1" applyBorder="1"/>
    <xf numFmtId="0" fontId="5" fillId="6" borderId="32" xfId="0" applyFont="1" applyFill="1" applyBorder="1"/>
    <xf numFmtId="171" fontId="5" fillId="6" borderId="32" xfId="3" applyNumberFormat="1" applyFont="1" applyFill="1" applyBorder="1"/>
    <xf numFmtId="171" fontId="2" fillId="6" borderId="53" xfId="0" applyNumberFormat="1" applyFont="1" applyFill="1" applyBorder="1"/>
    <xf numFmtId="0" fontId="0" fillId="6" borderId="55" xfId="0" applyFill="1" applyBorder="1"/>
    <xf numFmtId="1" fontId="0" fillId="6" borderId="55" xfId="0" applyNumberFormat="1" applyFill="1" applyBorder="1"/>
    <xf numFmtId="0" fontId="0" fillId="0" borderId="33" xfId="0" applyBorder="1"/>
    <xf numFmtId="171" fontId="13" fillId="6" borderId="1" xfId="3" applyNumberFormat="1" applyFont="1" applyFill="1" applyBorder="1"/>
    <xf numFmtId="179" fontId="0" fillId="6" borderId="1" xfId="3" applyNumberFormat="1" applyFont="1" applyFill="1" applyBorder="1"/>
    <xf numFmtId="171" fontId="6" fillId="6" borderId="2" xfId="3" applyNumberFormat="1" applyFont="1" applyFill="1" applyBorder="1"/>
    <xf numFmtId="171" fontId="0" fillId="6" borderId="56" xfId="3" applyNumberFormat="1" applyFont="1" applyFill="1" applyBorder="1"/>
    <xf numFmtId="3" fontId="2" fillId="6" borderId="53" xfId="0" applyNumberFormat="1" applyFont="1" applyFill="1" applyBorder="1"/>
    <xf numFmtId="179" fontId="0" fillId="6" borderId="2" xfId="3" applyNumberFormat="1" applyFont="1" applyFill="1" applyBorder="1"/>
    <xf numFmtId="171" fontId="54" fillId="6" borderId="53" xfId="3" applyNumberFormat="1" applyFont="1" applyFill="1" applyBorder="1"/>
    <xf numFmtId="174" fontId="2" fillId="6" borderId="53" xfId="3" applyNumberFormat="1" applyFont="1" applyFill="1" applyBorder="1"/>
    <xf numFmtId="171" fontId="13" fillId="6" borderId="2" xfId="3" applyNumberFormat="1" applyFont="1" applyFill="1" applyBorder="1"/>
    <xf numFmtId="179" fontId="5" fillId="6" borderId="2" xfId="3" applyNumberFormat="1" applyFont="1" applyFill="1" applyBorder="1"/>
    <xf numFmtId="0" fontId="2" fillId="0" borderId="57" xfId="0" applyFont="1" applyBorder="1"/>
    <xf numFmtId="1" fontId="55" fillId="6" borderId="56" xfId="0" applyNumberFormat="1" applyFont="1" applyFill="1" applyBorder="1"/>
    <xf numFmtId="171" fontId="2" fillId="6" borderId="56" xfId="3" applyNumberFormat="1" applyFont="1" applyFill="1" applyBorder="1"/>
    <xf numFmtId="171" fontId="2" fillId="6" borderId="0" xfId="0" applyNumberFormat="1" applyFont="1" applyFill="1"/>
    <xf numFmtId="0" fontId="0" fillId="0" borderId="0" xfId="0" applyAlignment="1">
      <alignment horizontal="left" indent="2"/>
    </xf>
    <xf numFmtId="0" fontId="0" fillId="0" borderId="0" xfId="0" quotePrefix="1" applyAlignment="1">
      <alignment horizontal="left" indent="2"/>
    </xf>
    <xf numFmtId="0" fontId="0" fillId="0" borderId="57" xfId="0" applyBorder="1"/>
    <xf numFmtId="0" fontId="0" fillId="0" borderId="59" xfId="0" applyBorder="1"/>
    <xf numFmtId="0" fontId="0" fillId="0" borderId="60" xfId="0" applyBorder="1"/>
    <xf numFmtId="165" fontId="0" fillId="6" borderId="1" xfId="3" applyFont="1" applyFill="1" applyBorder="1"/>
    <xf numFmtId="174" fontId="0" fillId="6" borderId="1" xfId="3" applyNumberFormat="1" applyFont="1" applyFill="1" applyBorder="1"/>
    <xf numFmtId="175" fontId="0" fillId="6" borderId="1" xfId="0" applyNumberFormat="1" applyFill="1" applyBorder="1"/>
    <xf numFmtId="1" fontId="2" fillId="6" borderId="1" xfId="0" applyNumberFormat="1" applyFont="1" applyFill="1" applyBorder="1"/>
    <xf numFmtId="0" fontId="0" fillId="0" borderId="1" xfId="0" applyBorder="1"/>
    <xf numFmtId="174" fontId="0" fillId="6" borderId="1" xfId="0" applyNumberFormat="1" applyFill="1" applyBorder="1"/>
    <xf numFmtId="165" fontId="5" fillId="6" borderId="1" xfId="3" applyFont="1" applyFill="1" applyBorder="1"/>
    <xf numFmtId="171" fontId="0" fillId="6" borderId="65" xfId="3" applyNumberFormat="1" applyFont="1" applyFill="1" applyBorder="1"/>
    <xf numFmtId="165" fontId="0" fillId="6" borderId="2" xfId="3" applyFont="1" applyFill="1" applyBorder="1"/>
    <xf numFmtId="171" fontId="2" fillId="6" borderId="38" xfId="3" applyNumberFormat="1" applyFont="1" applyFill="1" applyBorder="1"/>
    <xf numFmtId="174" fontId="0" fillId="6" borderId="2" xfId="3" applyNumberFormat="1" applyFont="1" applyFill="1" applyBorder="1"/>
    <xf numFmtId="174" fontId="0" fillId="6" borderId="65" xfId="3" applyNumberFormat="1" applyFont="1" applyFill="1" applyBorder="1"/>
    <xf numFmtId="171" fontId="0" fillId="6" borderId="66" xfId="3" applyNumberFormat="1" applyFont="1" applyFill="1" applyBorder="1"/>
    <xf numFmtId="171" fontId="2" fillId="6" borderId="38" xfId="0" applyNumberFormat="1" applyFont="1" applyFill="1" applyBorder="1"/>
    <xf numFmtId="174" fontId="0" fillId="6" borderId="67" xfId="0" applyNumberFormat="1" applyFill="1" applyBorder="1"/>
    <xf numFmtId="174" fontId="0" fillId="6" borderId="68" xfId="0" applyNumberFormat="1" applyFill="1" applyBorder="1"/>
    <xf numFmtId="171" fontId="0" fillId="6" borderId="70" xfId="3" applyNumberFormat="1" applyFont="1" applyFill="1" applyBorder="1"/>
    <xf numFmtId="171" fontId="6" fillId="6" borderId="32" xfId="3" applyNumberFormat="1" applyFont="1" applyFill="1" applyBorder="1"/>
    <xf numFmtId="1" fontId="2" fillId="6" borderId="38" xfId="0" applyNumberFormat="1" applyFont="1" applyFill="1" applyBorder="1"/>
    <xf numFmtId="175" fontId="0" fillId="6" borderId="67" xfId="0" applyNumberFormat="1" applyFill="1" applyBorder="1"/>
    <xf numFmtId="0" fontId="2" fillId="0" borderId="34" xfId="0" applyFont="1" applyBorder="1" applyAlignment="1">
      <alignment horizontal="left" indent="2"/>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horizontal="left" vertical="center"/>
    </xf>
    <xf numFmtId="171" fontId="0" fillId="6" borderId="67" xfId="3" applyNumberFormat="1" applyFont="1" applyFill="1" applyBorder="1"/>
    <xf numFmtId="171" fontId="0" fillId="6" borderId="68" xfId="3" applyNumberFormat="1" applyFont="1" applyFill="1" applyBorder="1"/>
    <xf numFmtId="171" fontId="0" fillId="6" borderId="69" xfId="3" applyNumberFormat="1" applyFont="1" applyFill="1" applyBorder="1"/>
    <xf numFmtId="174" fontId="5" fillId="6" borderId="1" xfId="0" applyNumberFormat="1" applyFont="1" applyFill="1" applyBorder="1"/>
    <xf numFmtId="174" fontId="55" fillId="6" borderId="1" xfId="0" applyNumberFormat="1" applyFont="1" applyFill="1" applyBorder="1"/>
    <xf numFmtId="174" fontId="55" fillId="6" borderId="1" xfId="3" applyNumberFormat="1" applyFont="1" applyFill="1" applyBorder="1"/>
    <xf numFmtId="175" fontId="55" fillId="6" borderId="1" xfId="0" applyNumberFormat="1" applyFont="1" applyFill="1" applyBorder="1"/>
    <xf numFmtId="171" fontId="5" fillId="6" borderId="71" xfId="3" applyNumberFormat="1" applyFont="1" applyFill="1" applyBorder="1" applyAlignment="1">
      <alignment horizontal="right"/>
    </xf>
    <xf numFmtId="171" fontId="5" fillId="6" borderId="67" xfId="3" applyNumberFormat="1" applyFont="1" applyFill="1" applyBorder="1" applyAlignment="1">
      <alignment horizontal="right"/>
    </xf>
    <xf numFmtId="174" fontId="6" fillId="6" borderId="67" xfId="3" applyNumberFormat="1" applyFont="1" applyFill="1" applyBorder="1" applyAlignment="1">
      <alignment horizontal="right"/>
    </xf>
    <xf numFmtId="174" fontId="5" fillId="6" borderId="69" xfId="3" applyNumberFormat="1" applyFont="1" applyFill="1" applyBorder="1" applyAlignment="1">
      <alignment horizontal="right"/>
    </xf>
    <xf numFmtId="0" fontId="1" fillId="16" borderId="47" xfId="0" applyFont="1" applyFill="1" applyBorder="1"/>
    <xf numFmtId="0" fontId="1" fillId="16" borderId="46" xfId="0" applyFont="1" applyFill="1" applyBorder="1"/>
    <xf numFmtId="0" fontId="1" fillId="16" borderId="51" xfId="0" applyFont="1" applyFill="1" applyBorder="1"/>
    <xf numFmtId="0" fontId="20" fillId="16" borderId="48" xfId="0" applyFont="1" applyFill="1" applyBorder="1"/>
    <xf numFmtId="0" fontId="20" fillId="16" borderId="49" xfId="0" applyFont="1" applyFill="1" applyBorder="1"/>
    <xf numFmtId="0" fontId="20" fillId="16" borderId="46" xfId="0" applyFont="1" applyFill="1" applyBorder="1"/>
    <xf numFmtId="0" fontId="2" fillId="16" borderId="47" xfId="0" applyFont="1" applyFill="1" applyBorder="1"/>
    <xf numFmtId="0" fontId="2" fillId="16" borderId="46" xfId="0" applyFont="1" applyFill="1" applyBorder="1"/>
    <xf numFmtId="0" fontId="2" fillId="16" borderId="51" xfId="0" applyFont="1" applyFill="1" applyBorder="1"/>
    <xf numFmtId="171" fontId="2" fillId="16" borderId="1" xfId="3" applyNumberFormat="1" applyFont="1" applyFill="1" applyBorder="1"/>
    <xf numFmtId="0" fontId="2" fillId="0" borderId="0" xfId="0" applyFont="1" applyAlignment="1">
      <alignment vertical="center"/>
    </xf>
    <xf numFmtId="164" fontId="67" fillId="14" borderId="0" xfId="5" applyNumberFormat="1" applyFont="1" applyFill="1" applyAlignment="1">
      <alignment horizontal="centerContinuous"/>
    </xf>
    <xf numFmtId="164" fontId="68" fillId="14" borderId="0" xfId="5" applyNumberFormat="1" applyFont="1" applyFill="1" applyAlignment="1">
      <alignment horizontal="centerContinuous"/>
    </xf>
    <xf numFmtId="164" fontId="69" fillId="0" borderId="0" xfId="0" applyNumberFormat="1" applyFont="1" applyAlignment="1">
      <alignment horizontal="center" vertical="center"/>
    </xf>
    <xf numFmtId="2" fontId="6" fillId="6" borderId="1" xfId="0" applyNumberFormat="1" applyFont="1" applyFill="1" applyBorder="1"/>
    <xf numFmtId="9" fontId="5" fillId="6" borderId="1" xfId="0" applyNumberFormat="1" applyFont="1" applyFill="1" applyBorder="1"/>
    <xf numFmtId="0" fontId="0" fillId="0" borderId="0" xfId="0" applyAlignment="1">
      <alignment horizontal="center"/>
    </xf>
    <xf numFmtId="0" fontId="16" fillId="0" borderId="0" xfId="2" applyFill="1"/>
    <xf numFmtId="164" fontId="69" fillId="0" borderId="0" xfId="0" applyNumberFormat="1" applyFont="1" applyAlignment="1">
      <alignment horizontal="centerContinuous"/>
    </xf>
    <xf numFmtId="0" fontId="2" fillId="0" borderId="0" xfId="0" applyFont="1" applyAlignment="1">
      <alignment horizontal="right"/>
    </xf>
    <xf numFmtId="0" fontId="0" fillId="0" borderId="0" xfId="8" applyFont="1"/>
    <xf numFmtId="0" fontId="13" fillId="0" borderId="7" xfId="8" applyBorder="1"/>
    <xf numFmtId="0" fontId="13" fillId="0" borderId="3" xfId="8" applyBorder="1"/>
    <xf numFmtId="0" fontId="13" fillId="0" borderId="72" xfId="8" applyBorder="1"/>
    <xf numFmtId="2" fontId="13" fillId="0" borderId="0" xfId="8" applyNumberFormat="1"/>
    <xf numFmtId="0" fontId="2" fillId="0" borderId="0" xfId="8" applyFont="1" applyAlignment="1">
      <alignment horizontal="center"/>
    </xf>
    <xf numFmtId="174" fontId="13" fillId="0" borderId="31" xfId="8" applyNumberFormat="1" applyBorder="1"/>
    <xf numFmtId="2" fontId="13" fillId="0" borderId="31" xfId="8" applyNumberFormat="1" applyBorder="1"/>
    <xf numFmtId="180" fontId="13" fillId="0" borderId="31" xfId="8" applyNumberFormat="1" applyBorder="1"/>
    <xf numFmtId="0" fontId="2" fillId="0" borderId="74" xfId="0" applyFont="1" applyBorder="1"/>
    <xf numFmtId="0" fontId="0" fillId="0" borderId="75" xfId="0" applyBorder="1"/>
    <xf numFmtId="0" fontId="2" fillId="0" borderId="59" xfId="0" applyFont="1" applyBorder="1"/>
    <xf numFmtId="171" fontId="6" fillId="0" borderId="0" xfId="3" applyNumberFormat="1" applyFont="1" applyBorder="1"/>
    <xf numFmtId="171" fontId="0" fillId="0" borderId="0" xfId="3" applyNumberFormat="1" applyFont="1" applyBorder="1"/>
    <xf numFmtId="171" fontId="0" fillId="0" borderId="61" xfId="3" applyNumberFormat="1" applyFont="1" applyBorder="1"/>
    <xf numFmtId="0" fontId="2" fillId="0" borderId="60" xfId="0" applyFont="1" applyBorder="1"/>
    <xf numFmtId="37" fontId="54" fillId="0" borderId="0" xfId="0" applyNumberFormat="1" applyFont="1"/>
    <xf numFmtId="171" fontId="2" fillId="0" borderId="0" xfId="3" applyNumberFormat="1" applyFont="1" applyBorder="1"/>
    <xf numFmtId="0" fontId="0" fillId="0" borderId="60" xfId="0" applyBorder="1" applyAlignment="1">
      <alignment horizontal="left" indent="1"/>
    </xf>
    <xf numFmtId="0" fontId="0" fillId="0" borderId="61" xfId="0" applyBorder="1"/>
    <xf numFmtId="0" fontId="2" fillId="0" borderId="62" xfId="0" applyFont="1" applyBorder="1"/>
    <xf numFmtId="0" fontId="0" fillId="0" borderId="63" xfId="0" applyBorder="1"/>
    <xf numFmtId="0" fontId="6" fillId="0" borderId="63" xfId="0" applyFont="1" applyBorder="1"/>
    <xf numFmtId="164" fontId="69" fillId="0" borderId="58" xfId="0" applyNumberFormat="1" applyFont="1" applyBorder="1" applyAlignment="1">
      <alignment horizontal="centerContinuous"/>
    </xf>
    <xf numFmtId="164" fontId="69" fillId="0" borderId="57" xfId="0" applyNumberFormat="1" applyFont="1" applyBorder="1" applyAlignment="1">
      <alignment horizontal="centerContinuous"/>
    </xf>
    <xf numFmtId="164" fontId="69" fillId="0" borderId="57" xfId="0" applyNumberFormat="1" applyFont="1" applyBorder="1"/>
    <xf numFmtId="171" fontId="2" fillId="6" borderId="63" xfId="0" applyNumberFormat="1" applyFont="1" applyFill="1" applyBorder="1"/>
    <xf numFmtId="0" fontId="0" fillId="0" borderId="64" xfId="0" applyBorder="1"/>
    <xf numFmtId="37" fontId="2" fillId="6" borderId="1" xfId="0" applyNumberFormat="1" applyFont="1" applyFill="1" applyBorder="1"/>
    <xf numFmtId="164" fontId="2" fillId="0" borderId="0" xfId="0" applyNumberFormat="1" applyFont="1"/>
    <xf numFmtId="0" fontId="0" fillId="0" borderId="76" xfId="0" applyBorder="1" applyAlignment="1">
      <alignment horizontal="center"/>
    </xf>
    <xf numFmtId="174" fontId="15" fillId="0" borderId="0" xfId="0" applyNumberFormat="1" applyFont="1" applyAlignment="1">
      <alignment horizontal="center"/>
    </xf>
    <xf numFmtId="174" fontId="15" fillId="0" borderId="0" xfId="0" applyNumberFormat="1" applyFont="1" applyAlignment="1">
      <alignment horizontal="right"/>
    </xf>
    <xf numFmtId="174" fontId="65" fillId="0" borderId="0" xfId="0" applyNumberFormat="1" applyFont="1" applyAlignment="1">
      <alignment horizontal="center"/>
    </xf>
    <xf numFmtId="174" fontId="65" fillId="0" borderId="77" xfId="0" applyNumberFormat="1" applyFont="1" applyBorder="1" applyAlignment="1">
      <alignment horizontal="right"/>
    </xf>
    <xf numFmtId="174" fontId="65" fillId="0" borderId="0" xfId="0" applyNumberFormat="1" applyFont="1" applyAlignment="1">
      <alignment horizontal="right"/>
    </xf>
    <xf numFmtId="164" fontId="69" fillId="0" borderId="0" xfId="0" applyNumberFormat="1" applyFont="1" applyAlignment="1">
      <alignment horizontal="center"/>
    </xf>
    <xf numFmtId="174" fontId="65" fillId="0" borderId="77" xfId="0" applyNumberFormat="1" applyFont="1" applyBorder="1" applyAlignment="1">
      <alignment horizontal="center"/>
    </xf>
    <xf numFmtId="174" fontId="15" fillId="0" borderId="77" xfId="0" applyNumberFormat="1" applyFont="1" applyBorder="1"/>
    <xf numFmtId="165" fontId="69" fillId="0" borderId="0" xfId="3" applyFont="1" applyAlignment="1">
      <alignment horizontal="centerContinuous"/>
    </xf>
    <xf numFmtId="165" fontId="53" fillId="0" borderId="0" xfId="3" applyFont="1" applyAlignment="1">
      <alignment horizontal="centerContinuous"/>
    </xf>
    <xf numFmtId="174" fontId="66" fillId="0" borderId="77" xfId="0" applyNumberFormat="1" applyFont="1" applyBorder="1" applyAlignment="1">
      <alignment horizontal="left"/>
    </xf>
    <xf numFmtId="1" fontId="0" fillId="0" borderId="0" xfId="0" applyNumberFormat="1" applyAlignment="1">
      <alignment horizontal="center"/>
    </xf>
    <xf numFmtId="1" fontId="6" fillId="0" borderId="78" xfId="0" applyNumberFormat="1" applyFont="1" applyBorder="1" applyAlignment="1">
      <alignment horizontal="center"/>
    </xf>
    <xf numFmtId="174" fontId="6" fillId="0" borderId="77" xfId="0" applyNumberFormat="1" applyFont="1" applyBorder="1" applyAlignment="1">
      <alignment horizontal="center"/>
    </xf>
    <xf numFmtId="174" fontId="6" fillId="0" borderId="78" xfId="0" applyNumberFormat="1" applyFont="1" applyBorder="1" applyAlignment="1">
      <alignment horizontal="center"/>
    </xf>
    <xf numFmtId="0" fontId="0" fillId="0" borderId="0" xfId="0" applyAlignment="1">
      <alignment vertical="top"/>
    </xf>
    <xf numFmtId="0" fontId="0" fillId="0" borderId="73" xfId="0" applyBorder="1"/>
    <xf numFmtId="0" fontId="10" fillId="0" borderId="58" xfId="0" applyFont="1" applyBorder="1"/>
    <xf numFmtId="0" fontId="0" fillId="0" borderId="60" xfId="0" applyBorder="1" applyAlignment="1">
      <alignment horizontal="left"/>
    </xf>
    <xf numFmtId="182" fontId="0" fillId="6" borderId="5" xfId="0" applyNumberFormat="1" applyFill="1" applyBorder="1" applyAlignment="1">
      <alignment horizontal="center"/>
    </xf>
    <xf numFmtId="0" fontId="2" fillId="0" borderId="79" xfId="8" applyFont="1" applyBorder="1" applyAlignment="1">
      <alignment vertical="center"/>
    </xf>
    <xf numFmtId="182" fontId="0" fillId="6" borderId="1" xfId="0" applyNumberFormat="1" applyFill="1" applyBorder="1"/>
    <xf numFmtId="171" fontId="2" fillId="6" borderId="52" xfId="0" applyNumberFormat="1" applyFont="1" applyFill="1" applyBorder="1"/>
    <xf numFmtId="0" fontId="0" fillId="18" borderId="52" xfId="0" applyFill="1" applyBorder="1"/>
    <xf numFmtId="0" fontId="2" fillId="6" borderId="1" xfId="0" applyFont="1" applyFill="1" applyBorder="1" applyAlignment="1">
      <alignment horizontal="center"/>
    </xf>
    <xf numFmtId="0" fontId="2" fillId="6" borderId="52" xfId="0" applyFont="1" applyFill="1" applyBorder="1" applyAlignment="1">
      <alignment horizontal="center"/>
    </xf>
    <xf numFmtId="164" fontId="69" fillId="0" borderId="60" xfId="0" applyNumberFormat="1" applyFont="1" applyBorder="1" applyAlignment="1">
      <alignment horizontal="left" vertical="top"/>
    </xf>
    <xf numFmtId="164" fontId="69" fillId="0" borderId="0" xfId="0" applyNumberFormat="1" applyFont="1" applyAlignment="1">
      <alignment horizontal="center" vertical="top"/>
    </xf>
    <xf numFmtId="9" fontId="69" fillId="0" borderId="0" xfId="10" applyFont="1" applyBorder="1" applyAlignment="1">
      <alignment horizontal="center" vertical="top" wrapText="1"/>
    </xf>
    <xf numFmtId="0" fontId="2" fillId="0" borderId="61" xfId="0" applyFont="1" applyBorder="1" applyAlignment="1">
      <alignment vertical="top"/>
    </xf>
    <xf numFmtId="0" fontId="19" fillId="0" borderId="0" xfId="9" applyFont="1" applyAlignment="1">
      <alignment horizontal="center" vertical="center"/>
    </xf>
    <xf numFmtId="9" fontId="13" fillId="0" borderId="0" xfId="9" applyNumberFormat="1" applyFont="1" applyAlignment="1">
      <alignment horizontal="center" vertical="center"/>
    </xf>
    <xf numFmtId="0" fontId="61" fillId="0" borderId="0" xfId="9" applyFont="1" applyAlignment="1">
      <alignment horizontal="left" vertical="center"/>
    </xf>
    <xf numFmtId="0" fontId="35" fillId="0" borderId="0" xfId="9" applyFont="1" applyAlignment="1">
      <alignment horizontal="left" vertical="center" indent="1"/>
    </xf>
    <xf numFmtId="0" fontId="19" fillId="0" borderId="0" xfId="9" applyFont="1" applyAlignment="1">
      <alignment horizontal="left" vertical="center"/>
    </xf>
    <xf numFmtId="0" fontId="61" fillId="0" borderId="0" xfId="9" applyFont="1" applyAlignment="1">
      <alignment vertical="center"/>
    </xf>
    <xf numFmtId="0" fontId="20" fillId="0" borderId="0" xfId="9" applyFont="1" applyAlignment="1">
      <alignment vertical="center"/>
    </xf>
    <xf numFmtId="184" fontId="20" fillId="0" borderId="0" xfId="9" applyNumberFormat="1" applyFont="1" applyAlignment="1">
      <alignment vertical="center"/>
    </xf>
    <xf numFmtId="0" fontId="20" fillId="0" borderId="0" xfId="9" applyFont="1" applyAlignment="1">
      <alignment horizontal="center" vertical="center"/>
    </xf>
    <xf numFmtId="185" fontId="20" fillId="0" borderId="0" xfId="9" applyNumberFormat="1" applyFont="1" applyAlignment="1">
      <alignment horizontal="center" vertical="center"/>
    </xf>
    <xf numFmtId="3" fontId="19" fillId="0" borderId="0" xfId="11" applyNumberFormat="1" applyFont="1" applyFill="1" applyBorder="1" applyAlignment="1">
      <alignment horizontal="center" vertical="center"/>
    </xf>
    <xf numFmtId="0" fontId="1" fillId="7" borderId="1" xfId="9" applyFont="1" applyFill="1" applyBorder="1" applyAlignment="1">
      <alignment vertical="center"/>
    </xf>
    <xf numFmtId="0" fontId="1" fillId="7" borderId="1" xfId="9" applyFont="1" applyFill="1" applyBorder="1" applyAlignment="1">
      <alignment horizontal="center" vertical="center" wrapText="1"/>
    </xf>
    <xf numFmtId="0" fontId="1" fillId="7" borderId="1" xfId="9" applyFont="1" applyFill="1" applyBorder="1" applyAlignment="1">
      <alignment horizontal="center" vertical="center"/>
    </xf>
    <xf numFmtId="37" fontId="1" fillId="7" borderId="1" xfId="9" applyNumberFormat="1" applyFont="1" applyFill="1" applyBorder="1" applyAlignment="1">
      <alignment horizontal="center" vertical="center"/>
    </xf>
    <xf numFmtId="182" fontId="1" fillId="7" borderId="1" xfId="9" applyNumberFormat="1" applyFont="1" applyFill="1" applyBorder="1" applyAlignment="1">
      <alignment horizontal="center" vertical="center"/>
    </xf>
    <xf numFmtId="37" fontId="19" fillId="6" borderId="1" xfId="11" applyNumberFormat="1" applyFont="1" applyFill="1" applyBorder="1" applyAlignment="1">
      <alignment horizontal="center" vertical="center"/>
    </xf>
    <xf numFmtId="0" fontId="1" fillId="7" borderId="5" xfId="9" applyFont="1" applyFill="1" applyBorder="1" applyAlignment="1">
      <alignment vertical="center"/>
    </xf>
    <xf numFmtId="184" fontId="1" fillId="7" borderId="4" xfId="9" applyNumberFormat="1" applyFont="1" applyFill="1" applyBorder="1" applyAlignment="1">
      <alignment vertical="center"/>
    </xf>
    <xf numFmtId="0" fontId="1" fillId="7" borderId="6" xfId="9" applyFont="1" applyFill="1" applyBorder="1" applyAlignment="1">
      <alignment horizontal="center" vertical="center"/>
    </xf>
    <xf numFmtId="0" fontId="1" fillId="7" borderId="4" xfId="9" applyFont="1" applyFill="1" applyBorder="1" applyAlignment="1">
      <alignment vertical="center"/>
    </xf>
    <xf numFmtId="0" fontId="1" fillId="7" borderId="6" xfId="9" applyFont="1" applyFill="1" applyBorder="1" applyAlignment="1">
      <alignment vertical="center"/>
    </xf>
    <xf numFmtId="3" fontId="64" fillId="6" borderId="1" xfId="15" applyNumberFormat="1" applyFont="1" applyFill="1" applyBorder="1" applyAlignment="1">
      <alignment horizontal="center" vertical="center"/>
    </xf>
    <xf numFmtId="3" fontId="6" fillId="6" borderId="1" xfId="15" applyNumberFormat="1" applyFont="1" applyFill="1" applyBorder="1" applyAlignment="1">
      <alignment horizontal="center" vertical="center"/>
    </xf>
    <xf numFmtId="0" fontId="46" fillId="7" borderId="2" xfId="9" applyFont="1" applyFill="1" applyBorder="1" applyAlignment="1">
      <alignment horizontal="left" vertical="center"/>
    </xf>
    <xf numFmtId="174" fontId="5" fillId="6" borderId="1" xfId="12" applyNumberFormat="1" applyFont="1" applyFill="1" applyBorder="1" applyAlignment="1">
      <alignment horizontal="center" vertical="center"/>
    </xf>
    <xf numFmtId="0" fontId="46" fillId="7" borderId="1" xfId="9" applyFont="1" applyFill="1" applyBorder="1" applyAlignment="1">
      <alignment horizontal="center" vertical="center" wrapText="1"/>
    </xf>
    <xf numFmtId="187" fontId="5" fillId="6" borderId="1" xfId="1" applyNumberFormat="1" applyFont="1" applyFill="1" applyBorder="1" applyAlignment="1">
      <alignment horizontal="center"/>
    </xf>
    <xf numFmtId="0" fontId="20" fillId="0" borderId="0" xfId="9" applyFont="1" applyAlignment="1">
      <alignment horizontal="left" vertical="center" indent="1"/>
    </xf>
    <xf numFmtId="3" fontId="6" fillId="6" borderId="1" xfId="11" applyNumberFormat="1" applyFont="1" applyFill="1" applyBorder="1" applyAlignment="1">
      <alignment horizontal="center" vertical="center"/>
    </xf>
    <xf numFmtId="0" fontId="46" fillId="7" borderId="1" xfId="9" applyFont="1" applyFill="1" applyBorder="1" applyAlignment="1">
      <alignment horizontal="centerContinuous" vertical="center" wrapText="1"/>
    </xf>
    <xf numFmtId="37" fontId="6" fillId="6" borderId="1" xfId="11" applyNumberFormat="1" applyFont="1" applyFill="1" applyBorder="1" applyAlignment="1">
      <alignment horizontal="center" vertical="center"/>
    </xf>
    <xf numFmtId="184" fontId="6" fillId="0" borderId="0" xfId="11" applyNumberFormat="1" applyFont="1" applyFill="1" applyBorder="1" applyAlignment="1">
      <alignment horizontal="center" vertical="center"/>
    </xf>
    <xf numFmtId="0" fontId="2" fillId="0" borderId="46" xfId="0" applyFont="1" applyBorder="1"/>
    <xf numFmtId="174" fontId="5" fillId="6" borderId="1" xfId="9" applyNumberFormat="1" applyFont="1" applyFill="1" applyBorder="1" applyAlignment="1">
      <alignment horizontal="center" vertical="center"/>
    </xf>
    <xf numFmtId="174" fontId="62" fillId="0" borderId="0" xfId="9" applyNumberFormat="1" applyFont="1" applyAlignment="1">
      <alignment horizontal="center" vertical="center"/>
    </xf>
    <xf numFmtId="174" fontId="13" fillId="0" borderId="0" xfId="9" applyNumberFormat="1" applyFont="1" applyAlignment="1">
      <alignment horizontal="center" vertical="center"/>
    </xf>
    <xf numFmtId="174" fontId="19" fillId="0" borderId="0" xfId="9" applyNumberFormat="1" applyFont="1" applyAlignment="1">
      <alignment vertical="center"/>
    </xf>
    <xf numFmtId="0" fontId="38" fillId="0" borderId="0" xfId="0" applyFont="1" applyAlignment="1">
      <alignment horizontal="center"/>
    </xf>
    <xf numFmtId="174" fontId="12" fillId="16" borderId="2" xfId="0" applyNumberFormat="1" applyFont="1" applyFill="1" applyBorder="1" applyAlignment="1">
      <alignment horizontal="left"/>
    </xf>
    <xf numFmtId="174" fontId="12" fillId="16" borderId="2" xfId="0" applyNumberFormat="1" applyFont="1" applyFill="1" applyBorder="1" applyAlignment="1">
      <alignment horizontal="right"/>
    </xf>
    <xf numFmtId="174" fontId="12" fillId="16" borderId="2" xfId="0" applyNumberFormat="1" applyFont="1" applyFill="1" applyBorder="1"/>
    <xf numFmtId="3" fontId="36" fillId="0" borderId="0" xfId="0" applyNumberFormat="1" applyFont="1"/>
    <xf numFmtId="167" fontId="12" fillId="0" borderId="0" xfId="0" applyNumberFormat="1" applyFont="1"/>
    <xf numFmtId="171" fontId="19" fillId="0" borderId="2" xfId="0" applyNumberFormat="1" applyFont="1" applyBorder="1"/>
    <xf numFmtId="37" fontId="6" fillId="6" borderId="1" xfId="0" applyNumberFormat="1" applyFont="1" applyFill="1" applyBorder="1" applyAlignment="1">
      <alignment vertical="center"/>
    </xf>
    <xf numFmtId="171" fontId="5" fillId="6" borderId="2" xfId="0" applyNumberFormat="1" applyFont="1" applyFill="1" applyBorder="1" applyAlignment="1">
      <alignment vertical="center"/>
    </xf>
    <xf numFmtId="37" fontId="6" fillId="6" borderId="2" xfId="0" applyNumberFormat="1" applyFont="1" applyFill="1" applyBorder="1" applyAlignment="1">
      <alignment vertical="center"/>
    </xf>
    <xf numFmtId="174" fontId="25" fillId="0" borderId="0" xfId="0" applyNumberFormat="1" applyFont="1" applyAlignment="1">
      <alignment horizontal="left" indent="1"/>
    </xf>
    <xf numFmtId="174" fontId="38" fillId="0" borderId="0" xfId="0" applyNumberFormat="1" applyFont="1"/>
    <xf numFmtId="174" fontId="25" fillId="0" borderId="5" xfId="0" applyNumberFormat="1" applyFont="1" applyBorder="1" applyAlignment="1">
      <alignment horizontal="left" indent="1"/>
    </xf>
    <xf numFmtId="0" fontId="12" fillId="18" borderId="0" xfId="0" applyFont="1" applyFill="1"/>
    <xf numFmtId="9" fontId="12" fillId="6" borderId="1" xfId="3" applyNumberFormat="1" applyFont="1" applyFill="1" applyBorder="1"/>
    <xf numFmtId="0" fontId="16" fillId="0" borderId="0" xfId="2" applyBorder="1" applyAlignment="1">
      <alignment horizontal="left"/>
    </xf>
    <xf numFmtId="0" fontId="16" fillId="0" borderId="0" xfId="2" applyBorder="1"/>
    <xf numFmtId="1" fontId="5" fillId="6" borderId="2" xfId="0" applyNumberFormat="1" applyFont="1" applyFill="1" applyBorder="1"/>
    <xf numFmtId="0" fontId="46" fillId="7" borderId="1" xfId="9" applyFont="1" applyFill="1" applyBorder="1" applyAlignment="1">
      <alignment horizontal="center" vertical="center"/>
    </xf>
    <xf numFmtId="183" fontId="46" fillId="7" borderId="1" xfId="9" applyNumberFormat="1" applyFont="1" applyFill="1" applyBorder="1" applyAlignment="1">
      <alignment horizontal="center" vertical="center" wrapText="1"/>
    </xf>
    <xf numFmtId="1" fontId="5" fillId="6" borderId="1" xfId="0" applyNumberFormat="1" applyFont="1" applyFill="1" applyBorder="1" applyAlignment="1">
      <alignment horizontal="center"/>
    </xf>
    <xf numFmtId="1" fontId="5" fillId="0" borderId="0" xfId="0" applyNumberFormat="1" applyFont="1" applyAlignment="1">
      <alignment horizontal="center"/>
    </xf>
    <xf numFmtId="174" fontId="5" fillId="0" borderId="0" xfId="0" applyNumberFormat="1" applyFont="1" applyAlignment="1">
      <alignment horizontal="center"/>
    </xf>
    <xf numFmtId="165" fontId="19" fillId="0" borderId="0" xfId="0" applyNumberFormat="1" applyFont="1"/>
    <xf numFmtId="174" fontId="18" fillId="6" borderId="1" xfId="0" applyNumberFormat="1" applyFont="1" applyFill="1" applyBorder="1"/>
    <xf numFmtId="3" fontId="25" fillId="0" borderId="1" xfId="0" applyNumberFormat="1" applyFont="1" applyBorder="1"/>
    <xf numFmtId="3" fontId="35" fillId="0" borderId="2" xfId="0" applyNumberFormat="1" applyFont="1" applyBorder="1"/>
    <xf numFmtId="3" fontId="35" fillId="0" borderId="1" xfId="0" applyNumberFormat="1" applyFont="1" applyBorder="1"/>
    <xf numFmtId="3" fontId="20" fillId="0" borderId="2" xfId="0" applyNumberFormat="1" applyFont="1" applyBorder="1"/>
    <xf numFmtId="165" fontId="0" fillId="0" borderId="0" xfId="3" applyFont="1"/>
    <xf numFmtId="4" fontId="0" fillId="0" borderId="0" xfId="0" applyNumberFormat="1"/>
    <xf numFmtId="0" fontId="20" fillId="0" borderId="0" xfId="5" applyFont="1" applyAlignment="1">
      <alignment horizontal="left" vertical="center"/>
    </xf>
    <xf numFmtId="171" fontId="38" fillId="0" borderId="0" xfId="3" applyNumberFormat="1" applyFont="1"/>
    <xf numFmtId="9" fontId="12" fillId="0" borderId="0" xfId="0" applyNumberFormat="1" applyFont="1"/>
    <xf numFmtId="0" fontId="19" fillId="0" borderId="0" xfId="5" applyFont="1" applyAlignment="1">
      <alignment horizontal="left" vertical="center"/>
    </xf>
    <xf numFmtId="0" fontId="13" fillId="0" borderId="0" xfId="13" applyAlignment="1">
      <alignment vertical="center"/>
    </xf>
    <xf numFmtId="0" fontId="39" fillId="17" borderId="0" xfId="0" applyFont="1" applyFill="1" applyAlignment="1">
      <alignment horizontal="left" vertical="top" wrapText="1"/>
    </xf>
    <xf numFmtId="0" fontId="70" fillId="0" borderId="0" xfId="0" applyFont="1" applyAlignment="1">
      <alignment vertical="center"/>
    </xf>
    <xf numFmtId="0" fontId="71" fillId="0" borderId="0" xfId="0" applyFont="1" applyAlignment="1">
      <alignment vertical="center"/>
    </xf>
    <xf numFmtId="0" fontId="72" fillId="0" borderId="0" xfId="0" applyFont="1"/>
    <xf numFmtId="0" fontId="15" fillId="0" borderId="0" xfId="0" applyFont="1"/>
    <xf numFmtId="0" fontId="31" fillId="0" borderId="0" xfId="0" applyFont="1" applyAlignment="1">
      <alignment horizontal="left"/>
    </xf>
    <xf numFmtId="0" fontId="26" fillId="0" borderId="0" xfId="2" applyFont="1" applyFill="1" applyBorder="1" applyAlignment="1">
      <alignment horizontal="left"/>
    </xf>
    <xf numFmtId="0" fontId="47" fillId="0" borderId="0" xfId="0" applyFont="1" applyAlignment="1">
      <alignment horizontal="left"/>
    </xf>
    <xf numFmtId="0" fontId="47" fillId="0" borderId="0" xfId="0" applyFont="1"/>
    <xf numFmtId="0" fontId="26" fillId="0" borderId="0" xfId="0" applyFont="1" applyAlignment="1">
      <alignment horizontal="left"/>
    </xf>
    <xf numFmtId="0" fontId="16" fillId="6" borderId="1" xfId="2" applyFill="1" applyBorder="1"/>
    <xf numFmtId="0" fontId="73" fillId="0" borderId="0" xfId="0" applyFont="1" applyAlignment="1">
      <alignment vertical="center"/>
    </xf>
    <xf numFmtId="0" fontId="74" fillId="0" borderId="0" xfId="0" applyFont="1"/>
    <xf numFmtId="0" fontId="75" fillId="0" borderId="0" xfId="0" applyFont="1" applyAlignment="1">
      <alignment vertical="center"/>
    </xf>
    <xf numFmtId="0" fontId="39" fillId="21" borderId="0" xfId="0" applyFont="1" applyFill="1" applyAlignment="1">
      <alignment horizontal="left" vertical="top" wrapText="1"/>
    </xf>
    <xf numFmtId="0" fontId="39" fillId="0" borderId="0" xfId="0" applyFont="1" applyFill="1" applyAlignment="1">
      <alignment horizontal="left" vertical="top" wrapText="1"/>
    </xf>
    <xf numFmtId="164" fontId="34" fillId="22" borderId="0" xfId="0" applyNumberFormat="1" applyFont="1" applyFill="1" applyAlignment="1">
      <alignment horizontal="centerContinuous" vertical="center"/>
    </xf>
    <xf numFmtId="0" fontId="32" fillId="22" borderId="0" xfId="0" applyFont="1" applyFill="1" applyAlignment="1">
      <alignment horizontal="centerContinuous" vertical="center"/>
    </xf>
    <xf numFmtId="0" fontId="15" fillId="22" borderId="0" xfId="0" applyFont="1" applyFill="1" applyAlignment="1">
      <alignment horizontal="centerContinuous" vertical="center"/>
    </xf>
    <xf numFmtId="0" fontId="0" fillId="22" borderId="0" xfId="0" applyFill="1" applyAlignment="1">
      <alignment horizontal="centerContinuous" vertical="center"/>
    </xf>
    <xf numFmtId="0" fontId="0" fillId="22" borderId="0" xfId="0" applyFill="1"/>
    <xf numFmtId="0" fontId="0" fillId="22" borderId="0" xfId="0" applyFill="1" applyAlignment="1">
      <alignment vertical="center"/>
    </xf>
    <xf numFmtId="0" fontId="19" fillId="0" borderId="0" xfId="0" applyFont="1" applyBorder="1"/>
    <xf numFmtId="0" fontId="39" fillId="17" borderId="0" xfId="0" applyFont="1" applyFill="1" applyBorder="1" applyAlignment="1">
      <alignment horizontal="left" vertical="top" wrapText="1"/>
    </xf>
    <xf numFmtId="171" fontId="13" fillId="20" borderId="41" xfId="16" applyNumberFormat="1" applyBorder="1" applyAlignment="1">
      <alignment horizontal="left"/>
    </xf>
    <xf numFmtId="171" fontId="13" fillId="20" borderId="42" xfId="16" applyNumberFormat="1" applyBorder="1" applyAlignment="1">
      <alignment horizontal="left"/>
    </xf>
    <xf numFmtId="171" fontId="13" fillId="20" borderId="40" xfId="16" applyNumberFormat="1" applyBorder="1" applyAlignment="1">
      <alignment horizontal="left"/>
    </xf>
    <xf numFmtId="171" fontId="13" fillId="20" borderId="40" xfId="16" applyNumberFormat="1" applyBorder="1" applyAlignment="1">
      <alignment horizontal="centerContinuous"/>
    </xf>
    <xf numFmtId="171" fontId="0" fillId="20" borderId="40" xfId="16" applyNumberFormat="1" applyFont="1" applyBorder="1" applyAlignment="1">
      <alignment horizontal="centerContinuous"/>
    </xf>
    <xf numFmtId="171" fontId="13" fillId="20" borderId="41" xfId="16" applyNumberFormat="1" applyBorder="1"/>
    <xf numFmtId="171" fontId="13" fillId="20" borderId="42" xfId="16" applyNumberFormat="1" applyBorder="1"/>
    <xf numFmtId="171" fontId="13" fillId="20" borderId="40" xfId="16" applyNumberFormat="1" applyBorder="1"/>
    <xf numFmtId="171" fontId="13" fillId="20" borderId="8" xfId="16" applyNumberFormat="1" applyBorder="1"/>
    <xf numFmtId="0" fontId="13" fillId="20" borderId="41" xfId="16" applyBorder="1" applyAlignment="1">
      <alignment horizontal="left"/>
    </xf>
    <xf numFmtId="0" fontId="13" fillId="20" borderId="42" xfId="16" applyBorder="1" applyAlignment="1">
      <alignment horizontal="left"/>
    </xf>
    <xf numFmtId="0" fontId="13" fillId="20" borderId="40" xfId="16" applyBorder="1" applyAlignment="1">
      <alignment horizontal="left"/>
    </xf>
    <xf numFmtId="0" fontId="13" fillId="20" borderId="40" xfId="16" applyBorder="1" applyAlignment="1">
      <alignment horizontal="centerContinuous"/>
    </xf>
    <xf numFmtId="0" fontId="13" fillId="20" borderId="41" xfId="16" applyBorder="1"/>
    <xf numFmtId="0" fontId="13" fillId="20" borderId="42" xfId="16" applyBorder="1"/>
    <xf numFmtId="0" fontId="13" fillId="20" borderId="40" xfId="16" applyBorder="1"/>
    <xf numFmtId="10" fontId="13" fillId="20" borderId="40" xfId="16" applyNumberFormat="1" applyBorder="1"/>
    <xf numFmtId="0" fontId="13" fillId="20" borderId="42" xfId="16" applyBorder="1" applyAlignment="1">
      <alignment horizontal="centerContinuous"/>
    </xf>
    <xf numFmtId="0" fontId="13" fillId="20" borderId="23" xfId="16" applyBorder="1" applyAlignment="1">
      <alignment horizontal="centerContinuous"/>
    </xf>
    <xf numFmtId="0" fontId="76" fillId="0" borderId="0" xfId="0" applyFont="1"/>
    <xf numFmtId="0" fontId="0" fillId="20" borderId="41" xfId="16" applyFont="1" applyBorder="1" applyAlignment="1">
      <alignment horizontal="left"/>
    </xf>
    <xf numFmtId="174" fontId="41" fillId="0" borderId="0" xfId="10" applyNumberFormat="1" applyFont="1"/>
    <xf numFmtId="0" fontId="0" fillId="24" borderId="80" xfId="0" applyFont="1" applyFill="1" applyBorder="1"/>
    <xf numFmtId="0" fontId="0" fillId="0" borderId="80" xfId="0" applyFont="1" applyBorder="1"/>
    <xf numFmtId="0" fontId="0" fillId="24" borderId="81" xfId="0" applyFont="1" applyFill="1" applyBorder="1"/>
    <xf numFmtId="0" fontId="79" fillId="26" borderId="0" xfId="0" applyFont="1" applyFill="1" applyBorder="1" applyAlignment="1">
      <alignment wrapText="1"/>
    </xf>
    <xf numFmtId="0" fontId="0" fillId="0" borderId="0" xfId="0" applyFont="1" applyBorder="1" applyAlignment="1"/>
    <xf numFmtId="0" fontId="79" fillId="28" borderId="0" xfId="0" applyFont="1" applyFill="1" applyBorder="1" applyAlignment="1">
      <alignment wrapText="1"/>
    </xf>
    <xf numFmtId="0" fontId="79" fillId="26" borderId="0" xfId="0" applyFont="1" applyFill="1" applyBorder="1" applyAlignment="1">
      <alignment horizontal="right" wrapText="1"/>
    </xf>
    <xf numFmtId="0" fontId="0" fillId="0" borderId="0" xfId="0" applyBorder="1"/>
    <xf numFmtId="14" fontId="78" fillId="26" borderId="0" xfId="0" applyNumberFormat="1" applyFont="1" applyFill="1" applyBorder="1" applyAlignment="1">
      <alignment horizontal="left" vertical="center" wrapText="1" indent="1"/>
    </xf>
    <xf numFmtId="0" fontId="78" fillId="26" borderId="0" xfId="0" applyFont="1" applyFill="1" applyBorder="1" applyAlignment="1">
      <alignment horizontal="left" vertical="center" wrapText="1" indent="1"/>
    </xf>
    <xf numFmtId="14" fontId="0" fillId="0" borderId="0" xfId="0" applyNumberFormat="1" applyBorder="1"/>
    <xf numFmtId="0" fontId="78" fillId="27" borderId="0" xfId="0" applyFont="1" applyFill="1" applyBorder="1" applyAlignment="1">
      <alignment horizontal="left" wrapText="1" indent="1"/>
    </xf>
    <xf numFmtId="14" fontId="79" fillId="26" borderId="0" xfId="0" applyNumberFormat="1" applyFont="1" applyFill="1" applyBorder="1" applyAlignment="1">
      <alignment horizontal="left" vertical="center" wrapText="1" indent="1"/>
    </xf>
    <xf numFmtId="188" fontId="79" fillId="26" borderId="0" xfId="0" applyNumberFormat="1" applyFont="1" applyFill="1" applyBorder="1" applyAlignment="1">
      <alignment horizontal="left" vertical="center" wrapText="1" indent="1"/>
    </xf>
    <xf numFmtId="14" fontId="79" fillId="26" borderId="0" xfId="0" applyNumberFormat="1" applyFont="1" applyFill="1" applyBorder="1" applyAlignment="1">
      <alignment horizontal="right" vertical="top" wrapText="1"/>
    </xf>
    <xf numFmtId="0" fontId="79" fillId="26" borderId="0" xfId="0" applyFont="1" applyFill="1" applyBorder="1" applyAlignment="1">
      <alignment horizontal="right" vertical="top" wrapText="1"/>
    </xf>
    <xf numFmtId="0" fontId="1" fillId="7" borderId="0" xfId="1" applyFont="1" applyFill="1" applyAlignment="1">
      <alignment horizontal="center"/>
    </xf>
    <xf numFmtId="0" fontId="0" fillId="6" borderId="5" xfId="0" applyFill="1" applyBorder="1" applyAlignment="1">
      <alignment horizontal="left"/>
    </xf>
    <xf numFmtId="0" fontId="0" fillId="6" borderId="6" xfId="0" applyFill="1" applyBorder="1" applyAlignment="1">
      <alignment horizontal="left"/>
    </xf>
    <xf numFmtId="0" fontId="0" fillId="21" borderId="1" xfId="0" applyFont="1" applyFill="1" applyBorder="1" applyAlignment="1">
      <alignment horizontal="left" vertical="center" wrapText="1"/>
    </xf>
    <xf numFmtId="0" fontId="15" fillId="21" borderId="1" xfId="0" applyFont="1" applyFill="1" applyBorder="1" applyAlignment="1">
      <alignment horizontal="left" vertical="center" wrapText="1"/>
    </xf>
    <xf numFmtId="0" fontId="1" fillId="7" borderId="0" xfId="0" applyFont="1" applyFill="1" applyAlignment="1">
      <alignment horizontal="center"/>
    </xf>
    <xf numFmtId="0" fontId="1" fillId="7" borderId="1" xfId="0" applyFont="1" applyFill="1" applyBorder="1" applyAlignment="1">
      <alignment horizontal="center" vertical="center"/>
    </xf>
    <xf numFmtId="0" fontId="39" fillId="17" borderId="22" xfId="0" applyFont="1" applyFill="1" applyBorder="1" applyAlignment="1">
      <alignment horizontal="left" wrapText="1"/>
    </xf>
    <xf numFmtId="0" fontId="39" fillId="17" borderId="0" xfId="0" applyFont="1" applyFill="1" applyAlignment="1">
      <alignment horizontal="left" wrapText="1"/>
    </xf>
    <xf numFmtId="0" fontId="39" fillId="17" borderId="22" xfId="0" applyFont="1" applyFill="1" applyBorder="1" applyAlignment="1">
      <alignment horizontal="left" vertical="top" wrapText="1"/>
    </xf>
    <xf numFmtId="0" fontId="39" fillId="17" borderId="0" xfId="0" applyFont="1" applyFill="1" applyAlignment="1">
      <alignment horizontal="left" vertical="top" wrapText="1"/>
    </xf>
    <xf numFmtId="0" fontId="42" fillId="17" borderId="0" xfId="0" applyFont="1" applyFill="1" applyAlignment="1">
      <alignment horizontal="left" vertical="center" wrapText="1"/>
    </xf>
    <xf numFmtId="171" fontId="48" fillId="14" borderId="43" xfId="0" applyNumberFormat="1" applyFont="1" applyFill="1" applyBorder="1" applyAlignment="1">
      <alignment horizontal="center" vertical="top"/>
    </xf>
    <xf numFmtId="171" fontId="48" fillId="14" borderId="44" xfId="0" applyNumberFormat="1" applyFont="1" applyFill="1" applyBorder="1" applyAlignment="1">
      <alignment horizontal="center" vertical="top"/>
    </xf>
    <xf numFmtId="171" fontId="48" fillId="14" borderId="3" xfId="0" applyNumberFormat="1" applyFont="1" applyFill="1" applyBorder="1" applyAlignment="1">
      <alignment horizontal="center"/>
    </xf>
    <xf numFmtId="171" fontId="48" fillId="14" borderId="0" xfId="0" applyNumberFormat="1" applyFont="1" applyFill="1" applyAlignment="1">
      <alignment horizontal="center"/>
    </xf>
    <xf numFmtId="0" fontId="46" fillId="23" borderId="0" xfId="0" applyFont="1" applyFill="1" applyAlignment="1">
      <alignment horizontal="center" vertical="center" wrapText="1"/>
    </xf>
    <xf numFmtId="0" fontId="43" fillId="0" borderId="14" xfId="0" applyFont="1" applyBorder="1" applyAlignment="1">
      <alignment horizontal="center" vertical="center" wrapText="1"/>
    </xf>
    <xf numFmtId="0" fontId="43" fillId="0" borderId="45" xfId="0" applyFont="1" applyBorder="1" applyAlignment="1">
      <alignment horizontal="center" vertical="center" wrapText="1"/>
    </xf>
    <xf numFmtId="0" fontId="43" fillId="0" borderId="15" xfId="0" applyFont="1" applyBorder="1" applyAlignment="1">
      <alignment horizontal="center" vertical="center" wrapText="1"/>
    </xf>
    <xf numFmtId="164" fontId="44" fillId="0" borderId="0" xfId="0" applyNumberFormat="1" applyFont="1" applyAlignment="1">
      <alignment horizontal="center" vertical="center" wrapText="1"/>
    </xf>
    <xf numFmtId="0" fontId="43" fillId="0" borderId="18"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19" xfId="0" applyFont="1" applyBorder="1" applyAlignment="1">
      <alignment horizontal="center" vertical="center" wrapText="1"/>
    </xf>
    <xf numFmtId="0" fontId="39" fillId="25" borderId="0" xfId="0" applyFont="1" applyFill="1" applyAlignment="1">
      <alignment horizontal="left" vertical="top" wrapText="1"/>
    </xf>
    <xf numFmtId="0" fontId="39" fillId="25" borderId="22" xfId="0" applyFont="1" applyFill="1" applyBorder="1" applyAlignment="1">
      <alignment horizontal="left" vertical="center" wrapText="1"/>
    </xf>
    <xf numFmtId="0" fontId="39" fillId="25" borderId="0" xfId="0" applyFont="1" applyFill="1" applyAlignment="1">
      <alignment horizontal="left" vertical="center" wrapText="1"/>
    </xf>
    <xf numFmtId="0" fontId="39" fillId="25" borderId="22" xfId="0" applyFont="1" applyFill="1" applyBorder="1" applyAlignment="1">
      <alignment horizontal="left" vertical="top" wrapText="1"/>
    </xf>
    <xf numFmtId="0" fontId="39" fillId="17" borderId="22" xfId="0" applyFont="1" applyFill="1" applyBorder="1" applyAlignment="1">
      <alignment horizontal="left" vertical="center" wrapText="1"/>
    </xf>
    <xf numFmtId="0" fontId="39" fillId="17" borderId="0" xfId="0" applyFont="1" applyFill="1" applyAlignment="1">
      <alignment horizontal="left" vertical="center" wrapText="1"/>
    </xf>
    <xf numFmtId="0" fontId="19" fillId="0" borderId="0" xfId="9" applyFont="1" applyAlignment="1">
      <alignment horizontal="left" vertical="top" wrapText="1"/>
    </xf>
    <xf numFmtId="0" fontId="1" fillId="2" borderId="1" xfId="0" applyFont="1" applyFill="1" applyBorder="1" applyAlignment="1">
      <alignment horizontal="center"/>
    </xf>
    <xf numFmtId="0" fontId="26" fillId="9" borderId="23" xfId="0" applyFont="1" applyFill="1" applyBorder="1" applyAlignment="1">
      <alignment horizontal="center"/>
    </xf>
  </cellXfs>
  <cellStyles count="17">
    <cellStyle name="$ 2" xfId="9" xr:uid="{D060BD90-E611-4D4C-87F3-A3BE310DCEC7}"/>
    <cellStyle name="60% - Accent5" xfId="16" builtinId="48"/>
    <cellStyle name="Comma" xfId="3" builtinId="3"/>
    <cellStyle name="Comma 10 2 2 2" xfId="15" xr:uid="{0DC74AE8-EC65-48E4-920D-07FC88986152}"/>
    <cellStyle name="Currency 2" xfId="11" xr:uid="{26C6A0EF-F0BE-4B81-A838-BA6FCB814D62}"/>
    <cellStyle name="Hyperlink" xfId="2" builtinId="8"/>
    <cellStyle name="Normal" xfId="0" builtinId="0"/>
    <cellStyle name="Normal 2" xfId="6" xr:uid="{36F8AF1F-0833-492D-85CE-D92F4667A385}"/>
    <cellStyle name="Normal 2 2 2" xfId="7" xr:uid="{BD142676-8F08-4C7F-B145-72FCC3B41B86}"/>
    <cellStyle name="Normal 2 2 5" xfId="14" xr:uid="{3C1B57D3-8198-4625-A47C-A6EC7E8DABD0}"/>
    <cellStyle name="Normal 32" xfId="13" xr:uid="{6721F301-480F-45D2-84D4-741EAA9207CB}"/>
    <cellStyle name="Normal 4" xfId="8" xr:uid="{6D746475-B090-41F8-A3EC-A9F892957C01}"/>
    <cellStyle name="Normal 6" xfId="4" xr:uid="{04DFE868-545C-487D-955C-5310A93439A6}"/>
    <cellStyle name="Normal 7" xfId="1" xr:uid="{72D4FF18-76A3-4588-A69A-808A65FA7C28}"/>
    <cellStyle name="Normal_WACC" xfId="5" xr:uid="{1C78C214-515E-491A-A4EC-45A4620C1728}"/>
    <cellStyle name="Percent" xfId="10" builtinId="5"/>
    <cellStyle name="Percent 13 3" xfId="12" xr:uid="{BAF1B820-BF13-4760-B10A-25BCF086D330}"/>
  </cellStyles>
  <dxfs count="7">
    <dxf>
      <numFmt numFmtId="13" formatCode="0%"/>
    </dxf>
    <dxf>
      <font>
        <b val="0"/>
        <i val="0"/>
        <strike val="0"/>
        <condense val="0"/>
        <extend val="0"/>
        <outline val="0"/>
        <shadow val="0"/>
        <u val="none"/>
        <vertAlign val="baseline"/>
        <sz val="12"/>
        <color theme="1"/>
        <name val="Calibri"/>
        <family val="2"/>
        <scheme val="minor"/>
      </font>
      <numFmt numFmtId="174" formatCode="0.0%"/>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FF9797"/>
      <color rgb="FFFF5D5D"/>
      <color rgb="FFB00000"/>
      <color rgb="FF0000FF"/>
      <color rgb="FFFFE1E1"/>
      <color rgb="FFFFE5E5"/>
      <color rgb="FFFFD5D5"/>
      <color rgb="FFFF2D2D"/>
      <color rgb="FFFFF3F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xml.rels><?xml version="1.0" encoding="UTF-8" standalone="yes"?>
<Relationships xmlns="http://schemas.openxmlformats.org/package/2006/relationships"><Relationship Id="rId3" Type="http://schemas.openxmlformats.org/officeDocument/2006/relationships/image" Target="../media/image11.jpeg"/><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180558791097857"/>
          <c:y val="0.13874252867924219"/>
          <c:w val="0.68819441208902143"/>
          <c:h val="0.50308419391501291"/>
        </c:manualLayout>
      </c:layout>
      <c:barChart>
        <c:barDir val="col"/>
        <c:grouping val="clustered"/>
        <c:varyColors val="0"/>
        <c:ser>
          <c:idx val="7"/>
          <c:order val="5"/>
          <c:tx>
            <c:strRef>
              <c:f>[1]Charts!$B$92</c:f>
              <c:strCache>
                <c:ptCount val="1"/>
                <c:pt idx="0">
                  <c:v>Pet Nutrition</c:v>
                </c:pt>
              </c:strCache>
            </c:strRef>
          </c:tx>
          <c:spPr>
            <a:solidFill>
              <a:schemeClr val="tx1">
                <a:lumMod val="50000"/>
                <a:lumOff val="50000"/>
              </a:schemeClr>
            </a:solidFill>
            <a:ln>
              <a:noFill/>
            </a:ln>
            <a:effectLst/>
          </c:spPr>
          <c:invertIfNegative val="0"/>
          <c:dPt>
            <c:idx val="0"/>
            <c:invertIfNegative val="0"/>
            <c:bubble3D val="0"/>
            <c:spPr>
              <a:noFill/>
              <a:ln>
                <a:noFill/>
              </a:ln>
              <a:effectLst/>
            </c:spPr>
            <c:extLst>
              <c:ext xmlns:c16="http://schemas.microsoft.com/office/drawing/2014/chart" uri="{C3380CC4-5D6E-409C-BE32-E72D297353CC}">
                <c16:uniqueId val="{00000001-8F61-4B9E-9721-7DAAC3B4F94E}"/>
              </c:ext>
            </c:extLst>
          </c:dPt>
          <c:val>
            <c:numRef>
              <c:f>[1]Charts!$G$92</c:f>
              <c:numCache>
                <c:formatCode>General</c:formatCode>
                <c:ptCount val="1"/>
                <c:pt idx="0">
                  <c:v>0.18787878787878787</c:v>
                </c:pt>
              </c:numCache>
            </c:numRef>
          </c:val>
          <c:extLst>
            <c:ext xmlns:c16="http://schemas.microsoft.com/office/drawing/2014/chart" uri="{C3380CC4-5D6E-409C-BE32-E72D297353CC}">
              <c16:uniqueId val="{00000002-8F61-4B9E-9721-7DAAC3B4F94E}"/>
            </c:ext>
          </c:extLst>
        </c:ser>
        <c:ser>
          <c:idx val="5"/>
          <c:order val="6"/>
          <c:tx>
            <c:strRef>
              <c:f>[1]Charts!$B$90</c:f>
              <c:strCache>
                <c:ptCount val="1"/>
                <c:pt idx="0">
                  <c:v>Total Oral, Personal and Home Care</c:v>
                </c:pt>
              </c:strCache>
            </c:strRef>
          </c:tx>
          <c:spPr>
            <a:noFill/>
            <a:ln>
              <a:noFill/>
            </a:ln>
            <a:effectLst/>
          </c:spPr>
          <c:invertIfNegative val="0"/>
          <c:val>
            <c:numRef>
              <c:f>[1]Charts!$G$90</c:f>
              <c:numCache>
                <c:formatCode>General</c:formatCode>
                <c:ptCount val="1"/>
                <c:pt idx="0">
                  <c:v>0.2559504186721171</c:v>
                </c:pt>
              </c:numCache>
            </c:numRef>
          </c:val>
          <c:extLst>
            <c:ext xmlns:c16="http://schemas.microsoft.com/office/drawing/2014/chart" uri="{C3380CC4-5D6E-409C-BE32-E72D297353CC}">
              <c16:uniqueId val="{00000003-8F61-4B9E-9721-7DAAC3B4F94E}"/>
            </c:ext>
          </c:extLst>
        </c:ser>
        <c:dLbls>
          <c:showLegendKey val="0"/>
          <c:showVal val="0"/>
          <c:showCatName val="0"/>
          <c:showSerName val="0"/>
          <c:showPercent val="0"/>
          <c:showBubbleSize val="0"/>
        </c:dLbls>
        <c:gapWidth val="407"/>
        <c:overlap val="-5"/>
        <c:axId val="332717040"/>
        <c:axId val="332714640"/>
        <c:extLst>
          <c:ext xmlns:c15="http://schemas.microsoft.com/office/drawing/2012/chart" uri="{02D57815-91ED-43cb-92C2-25804820EDAC}">
            <c15:filteredBarSeries>
              <c15:ser>
                <c:idx val="1"/>
                <c:order val="0"/>
                <c:tx>
                  <c:strRef>
                    <c:extLst>
                      <c:ext uri="{02D57815-91ED-43cb-92C2-25804820EDAC}">
                        <c15:formulaRef>
                          <c15:sqref>[1]Charts!$B$86</c15:sqref>
                        </c15:formulaRef>
                      </c:ext>
                    </c:extLst>
                    <c:strCache>
                      <c:ptCount val="1"/>
                      <c:pt idx="0">
                        <c:v>Latin America</c:v>
                      </c:pt>
                    </c:strCache>
                  </c:strRef>
                </c:tx>
                <c:spPr>
                  <a:solidFill>
                    <a:schemeClr val="accent2"/>
                  </a:solidFill>
                  <a:ln>
                    <a:noFill/>
                  </a:ln>
                  <a:effectLst/>
                </c:spPr>
                <c:invertIfNegative val="0"/>
                <c:val>
                  <c:numRef>
                    <c:extLst>
                      <c:ext uri="{02D57815-91ED-43cb-92C2-25804820EDAC}">
                        <c15:formulaRef>
                          <c15:sqref>[1]Charts!$G$86</c15:sqref>
                        </c15:formulaRef>
                      </c:ext>
                    </c:extLst>
                    <c:numCache>
                      <c:formatCode>General</c:formatCode>
                      <c:ptCount val="1"/>
                      <c:pt idx="0">
                        <c:v>0.30538793103448275</c:v>
                      </c:pt>
                    </c:numCache>
                  </c:numRef>
                </c:val>
                <c:extLst>
                  <c:ext xmlns:c16="http://schemas.microsoft.com/office/drawing/2014/chart" uri="{C3380CC4-5D6E-409C-BE32-E72D297353CC}">
                    <c16:uniqueId val="{00000004-8F61-4B9E-9721-7DAAC3B4F94E}"/>
                  </c:ext>
                </c:extLst>
              </c15:ser>
            </c15:filteredBarSeries>
            <c15:filteredBarSeries>
              <c15:ser>
                <c:idx val="2"/>
                <c:order val="1"/>
                <c:tx>
                  <c:strRef>
                    <c:extLst xmlns:c15="http://schemas.microsoft.com/office/drawing/2012/chart">
                      <c:ext xmlns:c15="http://schemas.microsoft.com/office/drawing/2012/chart" uri="{02D57815-91ED-43cb-92C2-25804820EDAC}">
                        <c15:formulaRef>
                          <c15:sqref>[1]Charts!$B$87</c15:sqref>
                        </c15:formulaRef>
                      </c:ext>
                    </c:extLst>
                    <c:strCache>
                      <c:ptCount val="1"/>
                      <c:pt idx="0">
                        <c:v>Europe</c:v>
                      </c:pt>
                    </c:strCache>
                  </c:strRef>
                </c:tx>
                <c:spPr>
                  <a:solidFill>
                    <a:schemeClr val="accent3"/>
                  </a:solidFill>
                  <a:ln>
                    <a:noFill/>
                  </a:ln>
                  <a:effectLst/>
                </c:spPr>
                <c:invertIfNegative val="0"/>
                <c:val>
                  <c:numRef>
                    <c:extLst xmlns:c15="http://schemas.microsoft.com/office/drawing/2012/chart">
                      <c:ext xmlns:c15="http://schemas.microsoft.com/office/drawing/2012/chart" uri="{02D57815-91ED-43cb-92C2-25804820EDAC}">
                        <c15:formulaRef>
                          <c15:sqref>[1]Charts!$G$87</c15:sqref>
                        </c15:formulaRef>
                      </c:ext>
                    </c:extLst>
                    <c:numCache>
                      <c:formatCode>General</c:formatCode>
                      <c:ptCount val="1"/>
                      <c:pt idx="0">
                        <c:v>0.20168067226890757</c:v>
                      </c:pt>
                    </c:numCache>
                  </c:numRef>
                </c:val>
                <c:extLst xmlns:c15="http://schemas.microsoft.com/office/drawing/2012/chart">
                  <c:ext xmlns:c16="http://schemas.microsoft.com/office/drawing/2014/chart" uri="{C3380CC4-5D6E-409C-BE32-E72D297353CC}">
                    <c16:uniqueId val="{00000005-8F61-4B9E-9721-7DAAC3B4F94E}"/>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[1]Charts!$B$85</c15:sqref>
                        </c15:formulaRef>
                      </c:ext>
                    </c:extLst>
                    <c:strCache>
                      <c:ptCount val="1"/>
                      <c:pt idx="0">
                        <c:v>North America</c:v>
                      </c:pt>
                    </c:strCache>
                  </c:strRef>
                </c:tx>
                <c:spPr>
                  <a:solidFill>
                    <a:schemeClr val="accent1"/>
                  </a:solidFill>
                  <a:ln>
                    <a:noFill/>
                  </a:ln>
                  <a:effectLst/>
                </c:spPr>
                <c:invertIfNegative val="0"/>
                <c:val>
                  <c:numRef>
                    <c:extLst xmlns:c15="http://schemas.microsoft.com/office/drawing/2012/chart">
                      <c:ext xmlns:c15="http://schemas.microsoft.com/office/drawing/2012/chart" uri="{02D57815-91ED-43cb-92C2-25804820EDAC}">
                        <c15:formulaRef>
                          <c15:sqref>[1]Charts!$G$85</c15:sqref>
                        </c15:formulaRef>
                      </c:ext>
                    </c:extLst>
                    <c:numCache>
                      <c:formatCode>General</c:formatCode>
                      <c:ptCount val="1"/>
                      <c:pt idx="0">
                        <c:v>0.22726114649681528</c:v>
                      </c:pt>
                    </c:numCache>
                  </c:numRef>
                </c:val>
                <c:extLst xmlns:c15="http://schemas.microsoft.com/office/drawing/2012/chart">
                  <c:ext xmlns:c16="http://schemas.microsoft.com/office/drawing/2014/chart" uri="{C3380CC4-5D6E-409C-BE32-E72D297353CC}">
                    <c16:uniqueId val="{00000006-8F61-4B9E-9721-7DAAC3B4F9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[1]Charts!$B$88</c15:sqref>
                        </c15:formulaRef>
                      </c:ext>
                    </c:extLst>
                    <c:strCache>
                      <c:ptCount val="1"/>
                      <c:pt idx="0">
                        <c:v>Asia Pacific</c:v>
                      </c:pt>
                    </c:strCache>
                  </c:strRef>
                </c:tx>
                <c:spPr>
                  <a:solidFill>
                    <a:schemeClr val="accent4"/>
                  </a:solidFill>
                  <a:ln>
                    <a:noFill/>
                  </a:ln>
                  <a:effectLst/>
                </c:spPr>
                <c:invertIfNegative val="0"/>
                <c:val>
                  <c:numRef>
                    <c:extLst xmlns:c15="http://schemas.microsoft.com/office/drawing/2012/chart">
                      <c:ext xmlns:c15="http://schemas.microsoft.com/office/drawing/2012/chart" uri="{02D57815-91ED-43cb-92C2-25804820EDAC}">
                        <c15:formulaRef>
                          <c15:sqref>[1]Charts!$G$88</c15:sqref>
                        </c15:formulaRef>
                      </c:ext>
                    </c:extLst>
                    <c:numCache>
                      <c:formatCode>General</c:formatCode>
                      <c:ptCount val="1"/>
                      <c:pt idx="0">
                        <c:v>0.27570093457943923</c:v>
                      </c:pt>
                    </c:numCache>
                  </c:numRef>
                </c:val>
                <c:extLst xmlns:c15="http://schemas.microsoft.com/office/drawing/2012/chart">
                  <c:ext xmlns:c16="http://schemas.microsoft.com/office/drawing/2014/chart" uri="{C3380CC4-5D6E-409C-BE32-E72D297353CC}">
                    <c16:uniqueId val="{00000007-8F61-4B9E-9721-7DAAC3B4F94E}"/>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[1]Charts!$B$89</c15:sqref>
                        </c15:formulaRef>
                      </c:ext>
                    </c:extLst>
                    <c:strCache>
                      <c:ptCount val="1"/>
                      <c:pt idx="0">
                        <c:v>Africa/Eurasia</c:v>
                      </c:pt>
                    </c:strCache>
                  </c:strRef>
                </c:tx>
                <c:spPr>
                  <a:solidFill>
                    <a:schemeClr val="accent5"/>
                  </a:solidFill>
                  <a:ln>
                    <a:noFill/>
                  </a:ln>
                  <a:effectLst/>
                </c:spPr>
                <c:invertIfNegative val="0"/>
                <c:val>
                  <c:numRef>
                    <c:extLst xmlns:c15="http://schemas.microsoft.com/office/drawing/2012/chart">
                      <c:ext xmlns:c15="http://schemas.microsoft.com/office/drawing/2012/chart" uri="{02D57815-91ED-43cb-92C2-25804820EDAC}">
                        <c15:formulaRef>
                          <c15:sqref>[1]Charts!$G$89</c15:sqref>
                        </c15:formulaRef>
                      </c:ext>
                    </c:extLst>
                    <c:numCache>
                      <c:formatCode>General</c:formatCode>
                      <c:ptCount val="1"/>
                      <c:pt idx="0">
                        <c:v>0.23453370267774701</c:v>
                      </c:pt>
                    </c:numCache>
                  </c:numRef>
                </c:val>
                <c:extLst xmlns:c15="http://schemas.microsoft.com/office/drawing/2012/chart">
                  <c:ext xmlns:c16="http://schemas.microsoft.com/office/drawing/2014/chart" uri="{C3380CC4-5D6E-409C-BE32-E72D297353CC}">
                    <c16:uniqueId val="{00000008-8F61-4B9E-9721-7DAAC3B4F94E}"/>
                  </c:ext>
                </c:extLst>
              </c15:ser>
            </c15:filteredBarSeries>
            <c15:filteredBarSeries>
              <c15:ser>
                <c:idx val="6"/>
                <c:order val="7"/>
                <c:tx>
                  <c:strRef>
                    <c:extLst xmlns:c15="http://schemas.microsoft.com/office/drawing/2012/chart">
                      <c:ext xmlns:c15="http://schemas.microsoft.com/office/drawing/2012/chart" uri="{02D57815-91ED-43cb-92C2-25804820EDAC}">
                        <c15:formulaRef>
                          <c15:sqref>[1]Charts!$B$91</c15:sqref>
                        </c15:formulaRef>
                      </c:ext>
                    </c:extLst>
                    <c:strCache>
                      <c:ptCount val="1"/>
                    </c:strCache>
                  </c:strRef>
                </c:tx>
                <c:spPr>
                  <a:solidFill>
                    <a:schemeClr val="accent1">
                      <a:lumMod val="60000"/>
                    </a:schemeClr>
                  </a:solidFill>
                  <a:ln>
                    <a:noFill/>
                  </a:ln>
                  <a:effectLst/>
                </c:spPr>
                <c:invertIfNegative val="0"/>
                <c:val>
                  <c:numRef>
                    <c:extLst xmlns:c15="http://schemas.microsoft.com/office/drawing/2012/chart">
                      <c:ext xmlns:c15="http://schemas.microsoft.com/office/drawing/2012/chart" uri="{02D57815-91ED-43cb-92C2-25804820EDAC}">
                        <c15:formulaRef>
                          <c15:sqref>[1]Charts!$G$91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9-8F61-4B9E-9721-7DAAC3B4F94E}"/>
                  </c:ext>
                </c:extLst>
              </c15:ser>
            </c15:filteredBarSeries>
          </c:ext>
        </c:extLst>
      </c:barChart>
      <c:catAx>
        <c:axId val="332717040"/>
        <c:scaling>
          <c:orientation val="minMax"/>
        </c:scaling>
        <c:delete val="1"/>
        <c:axPos val="b"/>
        <c:numFmt formatCode="General" sourceLinked="1"/>
        <c:majorTickMark val="out"/>
        <c:minorTickMark val="none"/>
        <c:tickLblPos val="nextTo"/>
        <c:crossAx val="332714640"/>
        <c:crossesAt val="0"/>
        <c:auto val="1"/>
        <c:lblAlgn val="ctr"/>
        <c:lblOffset val="100"/>
        <c:noMultiLvlLbl val="0"/>
      </c:catAx>
      <c:valAx>
        <c:axId val="332714640"/>
        <c:scaling>
          <c:orientation val="minMax"/>
          <c:max val="0.35000000000000003"/>
          <c:min val="0"/>
        </c:scaling>
        <c:delete val="1"/>
        <c:axPos val="l"/>
        <c:numFmt formatCode="General" sourceLinked="1"/>
        <c:majorTickMark val="out"/>
        <c:minorTickMark val="none"/>
        <c:tickLblPos val="nextTo"/>
        <c:crossAx val="332717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0"/>
          <c:tx>
            <c:strRef>
              <c:f>'Football Field Analysis'!$D$11</c:f>
              <c:strCache>
                <c:ptCount val="1"/>
                <c:pt idx="0">
                  <c:v>Valuation - High</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Analysis'!$B$14</c:f>
              <c:strCache>
                <c:ptCount val="1"/>
                <c:pt idx="0">
                  <c:v>Cost Approach</c:v>
                </c:pt>
              </c:strCache>
            </c:strRef>
          </c:cat>
          <c:val>
            <c:numRef>
              <c:extLst>
                <c:ext xmlns:c15="http://schemas.microsoft.com/office/drawing/2012/chart" uri="{02D57815-91ED-43cb-92C2-25804820EDAC}">
                  <c15:fullRef>
                    <c15:sqref>'Football Field Analysis'!$D$12:$D$14</c15:sqref>
                  </c15:fullRef>
                </c:ext>
              </c:extLst>
              <c:f>'Football Field Analysis'!$D$14</c:f>
              <c:numCache>
                <c:formatCode>#,##0</c:formatCode>
                <c:ptCount val="1"/>
                <c:pt idx="0">
                  <c:v>633.14422205007907</c:v>
                </c:pt>
              </c:numCache>
            </c:numRef>
          </c:val>
          <c:extLst>
            <c:ext xmlns:c16="http://schemas.microsoft.com/office/drawing/2014/chart" uri="{C3380CC4-5D6E-409C-BE32-E72D297353CC}">
              <c16:uniqueId val="{00000000-3FFA-4655-B88F-49A3B4E5193E}"/>
            </c:ext>
          </c:extLst>
        </c:ser>
        <c:ser>
          <c:idx val="3"/>
          <c:order val="1"/>
          <c:tx>
            <c:strRef>
              <c:f>'Football Field Analysis'!$F$11</c:f>
              <c:strCache>
                <c:ptCount val="1"/>
                <c:pt idx="0">
                  <c:v>Difference</c:v>
                </c:pt>
              </c:strCache>
            </c:strRef>
          </c:tx>
          <c:spPr>
            <a:solidFill>
              <a:srgbClr val="FF0000"/>
            </a:solidFill>
            <a:ln>
              <a:noFill/>
            </a:ln>
            <a:effectLst/>
          </c:spPr>
          <c:invertIfNegative val="0"/>
          <c:cat>
            <c:strRef>
              <c:extLst>
                <c:ext xmlns:c15="http://schemas.microsoft.com/office/drawing/2012/chart" uri="{02D57815-91ED-43cb-92C2-25804820EDAC}">
                  <c15:fullRef>
                    <c15:sqref>'Football Field Analysis'!$B$12:$B$14</c15:sqref>
                  </c15:fullRef>
                </c:ext>
              </c:extLst>
              <c:f>'Football Field Analysis'!$B$14</c:f>
              <c:strCache>
                <c:ptCount val="1"/>
                <c:pt idx="0">
                  <c:v>Cost Approach</c:v>
                </c:pt>
              </c:strCache>
            </c:strRef>
          </c:cat>
          <c:val>
            <c:numRef>
              <c:extLst>
                <c:ext xmlns:c15="http://schemas.microsoft.com/office/drawing/2012/chart" uri="{02D57815-91ED-43cb-92C2-25804820EDAC}">
                  <c15:fullRef>
                    <c15:sqref>'Football Field Analysis'!$F$12:$F$14</c15:sqref>
                  </c15:fullRef>
                </c:ext>
              </c:extLst>
              <c:f>'Football Field Analysis'!$F$14</c:f>
              <c:numCache>
                <c:formatCode>#,##0</c:formatCode>
                <c:ptCount val="1"/>
                <c:pt idx="0">
                  <c:v>115.1171312818326</c:v>
                </c:pt>
              </c:numCache>
            </c:numRef>
          </c:val>
          <c:extLst>
            <c:ext xmlns:c16="http://schemas.microsoft.com/office/drawing/2014/chart" uri="{C3380CC4-5D6E-409C-BE32-E72D297353CC}">
              <c16:uniqueId val="{00000001-3FFA-4655-B88F-49A3B4E5193E}"/>
            </c:ext>
          </c:extLst>
        </c:ser>
        <c:ser>
          <c:idx val="2"/>
          <c:order val="2"/>
          <c:tx>
            <c:strRef>
              <c:f>'Football Field Analysis'!$E$11</c:f>
              <c:strCache>
                <c:ptCount val="1"/>
                <c:pt idx="0">
                  <c:v>Valuation - Low</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Analysis'!$B$14</c:f>
              <c:strCache>
                <c:ptCount val="1"/>
                <c:pt idx="0">
                  <c:v>Cost Approach</c:v>
                </c:pt>
              </c:strCache>
            </c:strRef>
          </c:cat>
          <c:val>
            <c:numRef>
              <c:extLst>
                <c:ext xmlns:c15="http://schemas.microsoft.com/office/drawing/2012/chart" uri="{02D57815-91ED-43cb-92C2-25804820EDAC}">
                  <c15:fullRef>
                    <c15:sqref>'Football Field Analysis'!$E$12:$E$14</c15:sqref>
                  </c15:fullRef>
                </c:ext>
              </c:extLst>
              <c:f>'Football Field Analysis'!$E$14</c:f>
              <c:numCache>
                <c:formatCode>#,##0</c:formatCode>
                <c:ptCount val="1"/>
                <c:pt idx="0">
                  <c:v>518.02709076824647</c:v>
                </c:pt>
              </c:numCache>
            </c:numRef>
          </c:val>
          <c:extLst>
            <c:ext xmlns:c16="http://schemas.microsoft.com/office/drawing/2014/chart" uri="{C3380CC4-5D6E-409C-BE32-E72D297353CC}">
              <c16:uniqueId val="{00000002-3FFA-4655-B88F-49A3B4E5193E}"/>
            </c:ext>
          </c:extLst>
        </c:ser>
        <c:dLbls>
          <c:showLegendKey val="0"/>
          <c:showVal val="0"/>
          <c:showCatName val="0"/>
          <c:showSerName val="0"/>
          <c:showPercent val="0"/>
          <c:showBubbleSize val="0"/>
        </c:dLbls>
        <c:gapWidth val="150"/>
        <c:overlap val="100"/>
        <c:axId val="200578912"/>
        <c:axId val="200593792"/>
      </c:barChart>
      <c:catAx>
        <c:axId val="200578912"/>
        <c:scaling>
          <c:orientation val="minMax"/>
        </c:scaling>
        <c:delete val="0"/>
        <c:axPos val="l"/>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200593792"/>
        <c:crosses val="autoZero"/>
        <c:auto val="1"/>
        <c:lblAlgn val="ctr"/>
        <c:lblOffset val="100"/>
        <c:noMultiLvlLbl val="0"/>
      </c:catAx>
      <c:valAx>
        <c:axId val="200593792"/>
        <c:scaling>
          <c:orientation val="minMax"/>
        </c:scaling>
        <c:delete val="1"/>
        <c:axPos val="b"/>
        <c:numFmt formatCode="#,##0" sourceLinked="1"/>
        <c:majorTickMark val="none"/>
        <c:minorTickMark val="none"/>
        <c:tickLblPos val="nextTo"/>
        <c:crossAx val="200578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IN" b="1">
                <a:solidFill>
                  <a:sysClr val="windowText" lastClr="000000"/>
                </a:solidFill>
              </a:rPr>
              <a:t>GPC Trend Analysis as</a:t>
            </a:r>
            <a:r>
              <a:rPr lang="en-IN" b="1" baseline="0">
                <a:solidFill>
                  <a:sysClr val="windowText" lastClr="000000"/>
                </a:solidFill>
              </a:rPr>
              <a:t> of June 14, 2024</a:t>
            </a:r>
            <a:r>
              <a:rPr lang="en-IN" b="1">
                <a:solidFill>
                  <a:sysClr val="windowText" lastClr="000000"/>
                </a:solidFill>
              </a:rPr>
              <a:t>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working!$D$42</c:f>
              <c:strCache>
                <c:ptCount val="1"/>
                <c:pt idx="0">
                  <c:v>Revenue ($B)</c:v>
                </c:pt>
              </c:strCache>
            </c:strRef>
          </c:tx>
          <c:spPr>
            <a:solidFill>
              <a:srgbClr val="B00000"/>
            </a:solidFill>
            <a:ln>
              <a:solidFill>
                <a:schemeClr val="tx1"/>
              </a:solidFill>
            </a:ln>
            <a:effectLst/>
          </c:spPr>
          <c:invertIfNegative val="0"/>
          <c:dPt>
            <c:idx val="1"/>
            <c:invertIfNegative val="0"/>
            <c:bubble3D val="0"/>
            <c:spPr>
              <a:solidFill>
                <a:srgbClr val="FF2D2D"/>
              </a:solidFill>
              <a:ln>
                <a:solidFill>
                  <a:schemeClr val="tx1"/>
                </a:solidFill>
              </a:ln>
              <a:effectLst/>
            </c:spPr>
            <c:extLst>
              <c:ext xmlns:c16="http://schemas.microsoft.com/office/drawing/2014/chart" uri="{C3380CC4-5D6E-409C-BE32-E72D297353CC}">
                <c16:uniqueId val="{00000003-A1F7-41C0-A292-D3EFB96D0031}"/>
              </c:ext>
            </c:extLst>
          </c:dPt>
          <c:dPt>
            <c:idx val="2"/>
            <c:invertIfNegative val="0"/>
            <c:bubble3D val="0"/>
            <c:spPr>
              <a:solidFill>
                <a:srgbClr val="FF9797"/>
              </a:solidFill>
              <a:ln>
                <a:solidFill>
                  <a:schemeClr val="tx1"/>
                </a:solidFill>
              </a:ln>
              <a:effectLst/>
            </c:spPr>
            <c:extLst>
              <c:ext xmlns:c16="http://schemas.microsoft.com/office/drawing/2014/chart" uri="{C3380CC4-5D6E-409C-BE32-E72D297353CC}">
                <c16:uniqueId val="{00000005-A1F7-41C0-A292-D3EFB96D0031}"/>
              </c:ext>
            </c:extLst>
          </c:dPt>
          <c:dPt>
            <c:idx val="3"/>
            <c:invertIfNegative val="0"/>
            <c:bubble3D val="0"/>
            <c:spPr>
              <a:solidFill>
                <a:srgbClr val="FFD5D5"/>
              </a:solidFill>
              <a:ln>
                <a:solidFill>
                  <a:schemeClr val="tx1"/>
                </a:solidFill>
              </a:ln>
              <a:effectLst/>
            </c:spPr>
            <c:extLst>
              <c:ext xmlns:c16="http://schemas.microsoft.com/office/drawing/2014/chart" uri="{C3380CC4-5D6E-409C-BE32-E72D297353CC}">
                <c16:uniqueId val="{00000007-A1F7-41C0-A292-D3EFB96D0031}"/>
              </c:ext>
            </c:extLst>
          </c:dPt>
          <c:cat>
            <c:strRef>
              <c:f>working!$C$43:$C$46</c:f>
              <c:strCache>
                <c:ptCount val="4"/>
                <c:pt idx="0">
                  <c:v>Procter and Gamble Co.</c:v>
                </c:pt>
                <c:pt idx="1">
                  <c:v>Colgate-Palmolive Co.</c:v>
                </c:pt>
                <c:pt idx="2">
                  <c:v>Kimberly-Clark Corp.</c:v>
                </c:pt>
                <c:pt idx="3">
                  <c:v>The Colorox Co.</c:v>
                </c:pt>
              </c:strCache>
            </c:strRef>
          </c:cat>
          <c:val>
            <c:numRef>
              <c:f>working!$D$43:$D$46</c:f>
              <c:numCache>
                <c:formatCode>General</c:formatCode>
                <c:ptCount val="4"/>
                <c:pt idx="0">
                  <c:v>84.06</c:v>
                </c:pt>
                <c:pt idx="1">
                  <c:v>19.75</c:v>
                </c:pt>
                <c:pt idx="2">
                  <c:v>20.39</c:v>
                </c:pt>
                <c:pt idx="3">
                  <c:v>7.21</c:v>
                </c:pt>
              </c:numCache>
            </c:numRef>
          </c:val>
          <c:extLst>
            <c:ext xmlns:c16="http://schemas.microsoft.com/office/drawing/2014/chart" uri="{C3380CC4-5D6E-409C-BE32-E72D297353CC}">
              <c16:uniqueId val="{00000000-A1F7-41C0-A292-D3EFB96D0031}"/>
            </c:ext>
          </c:extLst>
        </c:ser>
        <c:ser>
          <c:idx val="1"/>
          <c:order val="1"/>
          <c:tx>
            <c:strRef>
              <c:f>working!$E$42</c:f>
              <c:strCache>
                <c:ptCount val="1"/>
                <c:pt idx="0">
                  <c:v>Gross Profit ($B)</c:v>
                </c:pt>
              </c:strCache>
            </c:strRef>
          </c:tx>
          <c:spPr>
            <a:solidFill>
              <a:srgbClr val="FF0000"/>
            </a:solidFill>
            <a:ln>
              <a:solidFill>
                <a:schemeClr val="tx1"/>
              </a:solidFill>
            </a:ln>
            <a:effectLst/>
          </c:spPr>
          <c:invertIfNegative val="0"/>
          <c:dPt>
            <c:idx val="1"/>
            <c:invertIfNegative val="0"/>
            <c:bubble3D val="0"/>
            <c:spPr>
              <a:solidFill>
                <a:srgbClr val="FF5D5D"/>
              </a:solidFill>
              <a:ln>
                <a:solidFill>
                  <a:schemeClr val="tx1"/>
                </a:solidFill>
              </a:ln>
              <a:effectLst/>
            </c:spPr>
            <c:extLst>
              <c:ext xmlns:c16="http://schemas.microsoft.com/office/drawing/2014/chart" uri="{C3380CC4-5D6E-409C-BE32-E72D297353CC}">
                <c16:uniqueId val="{00000004-A1F7-41C0-A292-D3EFB96D0031}"/>
              </c:ext>
            </c:extLst>
          </c:dPt>
          <c:dPt>
            <c:idx val="2"/>
            <c:invertIfNegative val="0"/>
            <c:bubble3D val="0"/>
            <c:spPr>
              <a:solidFill>
                <a:srgbClr val="FFB9B9"/>
              </a:solidFill>
              <a:ln>
                <a:solidFill>
                  <a:schemeClr val="tx1"/>
                </a:solidFill>
              </a:ln>
              <a:effectLst/>
            </c:spPr>
            <c:extLst>
              <c:ext xmlns:c16="http://schemas.microsoft.com/office/drawing/2014/chart" uri="{C3380CC4-5D6E-409C-BE32-E72D297353CC}">
                <c16:uniqueId val="{00000006-A1F7-41C0-A292-D3EFB96D0031}"/>
              </c:ext>
            </c:extLst>
          </c:dPt>
          <c:dPt>
            <c:idx val="3"/>
            <c:invertIfNegative val="0"/>
            <c:bubble3D val="0"/>
            <c:spPr>
              <a:solidFill>
                <a:schemeClr val="bg1">
                  <a:lumMod val="85000"/>
                </a:schemeClr>
              </a:solidFill>
              <a:ln>
                <a:solidFill>
                  <a:schemeClr val="tx1"/>
                </a:solidFill>
              </a:ln>
              <a:effectLst/>
            </c:spPr>
            <c:extLst>
              <c:ext xmlns:c16="http://schemas.microsoft.com/office/drawing/2014/chart" uri="{C3380CC4-5D6E-409C-BE32-E72D297353CC}">
                <c16:uniqueId val="{00000008-A1F7-41C0-A292-D3EFB96D0031}"/>
              </c:ext>
            </c:extLst>
          </c:dPt>
          <c:cat>
            <c:strRef>
              <c:f>working!$C$43:$C$46</c:f>
              <c:strCache>
                <c:ptCount val="4"/>
                <c:pt idx="0">
                  <c:v>Procter and Gamble Co.</c:v>
                </c:pt>
                <c:pt idx="1">
                  <c:v>Colgate-Palmolive Co.</c:v>
                </c:pt>
                <c:pt idx="2">
                  <c:v>Kimberly-Clark Corp.</c:v>
                </c:pt>
                <c:pt idx="3">
                  <c:v>The Colorox Co.</c:v>
                </c:pt>
              </c:strCache>
            </c:strRef>
          </c:cat>
          <c:val>
            <c:numRef>
              <c:f>working!$E$43:$E$46</c:f>
              <c:numCache>
                <c:formatCode>General</c:formatCode>
                <c:ptCount val="4"/>
                <c:pt idx="0">
                  <c:v>42.95</c:v>
                </c:pt>
                <c:pt idx="1">
                  <c:v>11.65</c:v>
                </c:pt>
                <c:pt idx="2">
                  <c:v>7.22</c:v>
                </c:pt>
                <c:pt idx="3">
                  <c:v>3.03</c:v>
                </c:pt>
              </c:numCache>
            </c:numRef>
          </c:val>
          <c:extLst>
            <c:ext xmlns:c16="http://schemas.microsoft.com/office/drawing/2014/chart" uri="{C3380CC4-5D6E-409C-BE32-E72D297353CC}">
              <c16:uniqueId val="{00000001-A1F7-41C0-A292-D3EFB96D0031}"/>
            </c:ext>
          </c:extLst>
        </c:ser>
        <c:dLbls>
          <c:showLegendKey val="0"/>
          <c:showVal val="0"/>
          <c:showCatName val="0"/>
          <c:showSerName val="0"/>
          <c:showPercent val="0"/>
          <c:showBubbleSize val="0"/>
        </c:dLbls>
        <c:gapWidth val="209"/>
        <c:overlap val="-9"/>
        <c:axId val="978216144"/>
        <c:axId val="978211824"/>
      </c:barChart>
      <c:lineChart>
        <c:grouping val="standard"/>
        <c:varyColors val="0"/>
        <c:ser>
          <c:idx val="2"/>
          <c:order val="2"/>
          <c:tx>
            <c:strRef>
              <c:f>working!$F$42</c:f>
              <c:strCache>
                <c:ptCount val="1"/>
                <c:pt idx="0">
                  <c:v>Gross Margin %</c:v>
                </c:pt>
              </c:strCache>
            </c:strRef>
          </c:tx>
          <c:spPr>
            <a:ln w="28575" cap="rnd">
              <a:noFill/>
              <a:round/>
            </a:ln>
            <a:effectLst/>
          </c:spPr>
          <c:marker>
            <c:symbol val="circle"/>
            <c:size val="11"/>
            <c:spPr>
              <a:solidFill>
                <a:srgbClr val="FF0000"/>
              </a:solidFill>
              <a:ln w="31750">
                <a:solidFill>
                  <a:schemeClr val="bg1"/>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working!$C$43:$C$46</c:f>
              <c:strCache>
                <c:ptCount val="4"/>
                <c:pt idx="0">
                  <c:v>Procter and Gamble Co.</c:v>
                </c:pt>
                <c:pt idx="1">
                  <c:v>Colgate-Palmolive Co.</c:v>
                </c:pt>
                <c:pt idx="2">
                  <c:v>Kimberly-Clark Corp.</c:v>
                </c:pt>
                <c:pt idx="3">
                  <c:v>The Colorox Co.</c:v>
                </c:pt>
              </c:strCache>
            </c:strRef>
          </c:cat>
          <c:val>
            <c:numRef>
              <c:f>working!$F$43:$F$46</c:f>
              <c:numCache>
                <c:formatCode>0%</c:formatCode>
                <c:ptCount val="4"/>
                <c:pt idx="0">
                  <c:v>0.51094456340709016</c:v>
                </c:pt>
                <c:pt idx="1">
                  <c:v>0.58987341772151902</c:v>
                </c:pt>
                <c:pt idx="2">
                  <c:v>0.35409514467876407</c:v>
                </c:pt>
                <c:pt idx="3">
                  <c:v>0.42024965325936198</c:v>
                </c:pt>
              </c:numCache>
            </c:numRef>
          </c:val>
          <c:smooth val="0"/>
          <c:extLst>
            <c:ext xmlns:c16="http://schemas.microsoft.com/office/drawing/2014/chart" uri="{C3380CC4-5D6E-409C-BE32-E72D297353CC}">
              <c16:uniqueId val="{00000002-A1F7-41C0-A292-D3EFB96D0031}"/>
            </c:ext>
          </c:extLst>
        </c:ser>
        <c:dLbls>
          <c:showLegendKey val="0"/>
          <c:showVal val="0"/>
          <c:showCatName val="0"/>
          <c:showSerName val="0"/>
          <c:showPercent val="0"/>
          <c:showBubbleSize val="0"/>
        </c:dLbls>
        <c:marker val="1"/>
        <c:smooth val="0"/>
        <c:axId val="794977040"/>
        <c:axId val="794973680"/>
      </c:lineChart>
      <c:valAx>
        <c:axId val="978211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978216144"/>
        <c:crosses val="autoZero"/>
        <c:crossBetween val="between"/>
      </c:valAx>
      <c:catAx>
        <c:axId val="97821614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978211824"/>
        <c:crosses val="autoZero"/>
        <c:auto val="1"/>
        <c:lblAlgn val="ctr"/>
        <c:lblOffset val="100"/>
        <c:tickMarkSkip val="1"/>
        <c:noMultiLvlLbl val="0"/>
      </c:catAx>
      <c:valAx>
        <c:axId val="79497368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794977040"/>
        <c:crosses val="max"/>
        <c:crossBetween val="between"/>
      </c:valAx>
      <c:catAx>
        <c:axId val="794977040"/>
        <c:scaling>
          <c:orientation val="minMax"/>
        </c:scaling>
        <c:delete val="1"/>
        <c:axPos val="b"/>
        <c:numFmt formatCode="General" sourceLinked="1"/>
        <c:majorTickMark val="out"/>
        <c:minorTickMark val="none"/>
        <c:tickLblPos val="nextTo"/>
        <c:crossAx val="7949736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IN" sz="1400"/>
              <a:t>FY 2024 Segment Operating Profit Margin </a:t>
            </a:r>
          </a:p>
        </c:rich>
      </c:tx>
      <c:layout>
        <c:manualLayout>
          <c:xMode val="edge"/>
          <c:yMode val="edge"/>
          <c:x val="0.29332059621370143"/>
          <c:y val="2.7212069874310234E-2"/>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manualLayout>
          <c:layoutTarget val="inner"/>
          <c:xMode val="edge"/>
          <c:yMode val="edge"/>
          <c:x val="0.1065355457177295"/>
          <c:y val="0.11797405765069727"/>
          <c:w val="0.86199092066281413"/>
          <c:h val="0.75615133855436001"/>
        </c:manualLayout>
      </c:layout>
      <c:barChart>
        <c:barDir val="col"/>
        <c:grouping val="clustered"/>
        <c:varyColors val="0"/>
        <c:ser>
          <c:idx val="7"/>
          <c:order val="5"/>
          <c:tx>
            <c:strRef>
              <c:f>Charts!$B$92</c:f>
              <c:strCache>
                <c:ptCount val="1"/>
                <c:pt idx="0">
                  <c:v>Pet Nutrition</c:v>
                </c:pt>
              </c:strCache>
            </c:strRef>
          </c:tx>
          <c:spPr>
            <a:pattFill prst="narHorz">
              <a:fgClr>
                <a:schemeClr val="accent3">
                  <a:lumMod val="80000"/>
                  <a:lumOff val="20000"/>
                </a:schemeClr>
              </a:fgClr>
              <a:bgClr>
                <a:schemeClr val="accent3">
                  <a:lumMod val="80000"/>
                  <a:lumOff val="20000"/>
                  <a:lumMod val="20000"/>
                  <a:lumOff val="80000"/>
                </a:schemeClr>
              </a:bgClr>
            </a:pattFill>
            <a:ln>
              <a:noFill/>
            </a:ln>
            <a:effectLst>
              <a:innerShdw blurRad="114300">
                <a:schemeClr val="accent3">
                  <a:lumMod val="80000"/>
                  <a:lumOff val="20000"/>
                </a:schemeClr>
              </a:innerShdw>
            </a:effectLst>
          </c:spPr>
          <c:invertIfNegative val="0"/>
          <c:dPt>
            <c:idx val="0"/>
            <c:invertIfNegative val="0"/>
            <c:bubble3D val="0"/>
            <c:spPr>
              <a:pattFill prst="narHorz">
                <a:fgClr>
                  <a:schemeClr val="accent3">
                    <a:lumMod val="80000"/>
                    <a:lumOff val="20000"/>
                  </a:schemeClr>
                </a:fgClr>
                <a:bgClr>
                  <a:schemeClr val="accent3">
                    <a:lumMod val="80000"/>
                    <a:lumOff val="20000"/>
                    <a:lumMod val="20000"/>
                    <a:lumOff val="80000"/>
                  </a:schemeClr>
                </a:bgClr>
              </a:pattFill>
              <a:ln>
                <a:noFill/>
              </a:ln>
              <a:effectLst>
                <a:innerShdw blurRad="114300">
                  <a:schemeClr val="accent3">
                    <a:lumMod val="80000"/>
                    <a:lumOff val="20000"/>
                  </a:schemeClr>
                </a:innerShdw>
              </a:effectLst>
            </c:spPr>
            <c:extLst>
              <c:ext xmlns:c16="http://schemas.microsoft.com/office/drawing/2014/chart" uri="{C3380CC4-5D6E-409C-BE32-E72D297353CC}">
                <c16:uniqueId val="{00000014-83C3-4F69-92D9-136EEB3CCD6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Charts!$G$92</c:f>
              <c:numCache>
                <c:formatCode>0.0%</c:formatCode>
                <c:ptCount val="1"/>
                <c:pt idx="0">
                  <c:v>0.21525763997323222</c:v>
                </c:pt>
              </c:numCache>
            </c:numRef>
          </c:val>
          <c:extLst>
            <c:ext xmlns:c16="http://schemas.microsoft.com/office/drawing/2014/chart" uri="{C3380CC4-5D6E-409C-BE32-E72D297353CC}">
              <c16:uniqueId val="{00000013-83C3-4F69-92D9-136EEB3CCD62}"/>
            </c:ext>
          </c:extLst>
        </c:ser>
        <c:ser>
          <c:idx val="5"/>
          <c:order val="6"/>
          <c:tx>
            <c:strRef>
              <c:f>Charts!$B$90</c:f>
              <c:strCache>
                <c:ptCount val="1"/>
                <c:pt idx="0">
                  <c:v>Total Oral, Personal and Home Care</c:v>
                </c:pt>
              </c:strCache>
            </c:strRef>
          </c:tx>
          <c:spPr>
            <a:pattFill prst="narHorz">
              <a:fgClr>
                <a:schemeClr val="accent5">
                  <a:lumMod val="60000"/>
                </a:schemeClr>
              </a:fgClr>
              <a:bgClr>
                <a:schemeClr val="accent5">
                  <a:lumMod val="60000"/>
                  <a:lumMod val="20000"/>
                  <a:lumOff val="80000"/>
                </a:schemeClr>
              </a:bgClr>
            </a:pattFill>
            <a:ln>
              <a:noFill/>
            </a:ln>
            <a:effectLst>
              <a:innerShdw blurRad="114300">
                <a:schemeClr val="accent5">
                  <a:lumMod val="60000"/>
                </a:schemeClr>
              </a:innerShdw>
            </a:effectLst>
          </c:spPr>
          <c:invertIfNegative val="0"/>
          <c:dLbls>
            <c:dLbl>
              <c:idx val="0"/>
              <c:layout>
                <c:manualLayout>
                  <c:x val="-9.8168725382306791E-17"/>
                  <c:y val="1.34484606277783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E6-48B6-BBBA-7BF5D64DC3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Charts!$G$90</c:f>
              <c:numCache>
                <c:formatCode>0.0%</c:formatCode>
                <c:ptCount val="1"/>
                <c:pt idx="0">
                  <c:v>0.26174926367012419</c:v>
                </c:pt>
              </c:numCache>
            </c:numRef>
          </c:val>
          <c:extLst>
            <c:ext xmlns:c16="http://schemas.microsoft.com/office/drawing/2014/chart" uri="{C3380CC4-5D6E-409C-BE32-E72D297353CC}">
              <c16:uniqueId val="{00000011-83C3-4F69-92D9-136EEB3CCD62}"/>
            </c:ext>
          </c:extLst>
        </c:ser>
        <c:dLbls>
          <c:dLblPos val="outEnd"/>
          <c:showLegendKey val="0"/>
          <c:showVal val="1"/>
          <c:showCatName val="0"/>
          <c:showSerName val="0"/>
          <c:showPercent val="0"/>
          <c:showBubbleSize val="0"/>
        </c:dLbls>
        <c:gapWidth val="164"/>
        <c:overlap val="-22"/>
        <c:axId val="332717040"/>
        <c:axId val="332714640"/>
        <c:extLst>
          <c:ext xmlns:c15="http://schemas.microsoft.com/office/drawing/2012/chart" uri="{02D57815-91ED-43cb-92C2-25804820EDAC}">
            <c15:filteredBarSeries>
              <c15:ser>
                <c:idx val="1"/>
                <c:order val="0"/>
                <c:tx>
                  <c:strRef>
                    <c:extLst>
                      <c:ext uri="{02D57815-91ED-43cb-92C2-25804820EDAC}">
                        <c15:formulaRef>
                          <c15:sqref>Charts!$B$86</c15:sqref>
                        </c15:formulaRef>
                      </c:ext>
                    </c:extLst>
                    <c:strCache>
                      <c:ptCount val="1"/>
                      <c:pt idx="0">
                        <c:v>Latin America</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ormulaRef>
                          <c15:sqref>Charts!$G$86</c15:sqref>
                        </c15:formulaRef>
                      </c:ext>
                    </c:extLst>
                    <c:numCache>
                      <c:formatCode>0.0%</c:formatCode>
                      <c:ptCount val="1"/>
                      <c:pt idx="0">
                        <c:v>0.31911334169803429</c:v>
                      </c:pt>
                    </c:numCache>
                  </c:numRef>
                </c:val>
                <c:extLst>
                  <c:ext xmlns:c16="http://schemas.microsoft.com/office/drawing/2014/chart" uri="{C3380CC4-5D6E-409C-BE32-E72D297353CC}">
                    <c16:uniqueId val="{0000000D-83C3-4F69-92D9-136EEB3CCD62}"/>
                  </c:ext>
                </c:extLst>
              </c15:ser>
            </c15:filteredBarSeries>
            <c15:filteredBarSeries>
              <c15:ser>
                <c:idx val="2"/>
                <c:order val="1"/>
                <c:tx>
                  <c:strRef>
                    <c:extLst xmlns:c15="http://schemas.microsoft.com/office/drawing/2012/chart">
                      <c:ext xmlns:c15="http://schemas.microsoft.com/office/drawing/2012/chart" uri="{02D57815-91ED-43cb-92C2-25804820EDAC}">
                        <c15:formulaRef>
                          <c15:sqref>Charts!$B$87</c15:sqref>
                        </c15:formulaRef>
                      </c:ext>
                    </c:extLst>
                    <c:strCache>
                      <c:ptCount val="1"/>
                      <c:pt idx="0">
                        <c:v>Europe</c:v>
                      </c:pt>
                    </c:strCache>
                  </c:strRef>
                </c:tx>
                <c:spPr>
                  <a:pattFill prst="narHorz">
                    <a:fgClr>
                      <a:schemeClr val="accent5"/>
                    </a:fgClr>
                    <a:bgClr>
                      <a:schemeClr val="accent5">
                        <a:lumMod val="20000"/>
                        <a:lumOff val="80000"/>
                      </a:schemeClr>
                    </a:bgClr>
                  </a:pattFill>
                  <a:ln>
                    <a:noFill/>
                  </a:ln>
                  <a:effectLst>
                    <a:innerShdw blurRad="114300">
                      <a:schemeClr val="accent5"/>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Charts!$G$87</c15:sqref>
                        </c15:formulaRef>
                      </c:ext>
                    </c:extLst>
                    <c:numCache>
                      <c:formatCode>0.0%</c:formatCode>
                      <c:ptCount val="1"/>
                      <c:pt idx="0">
                        <c:v>0.2375451263537906</c:v>
                      </c:pt>
                    </c:numCache>
                  </c:numRef>
                </c:val>
                <c:extLst xmlns:c15="http://schemas.microsoft.com/office/drawing/2012/chart">
                  <c:ext xmlns:c16="http://schemas.microsoft.com/office/drawing/2014/chart" uri="{C3380CC4-5D6E-409C-BE32-E72D297353CC}">
                    <c16:uniqueId val="{0000000E-83C3-4F69-92D9-136EEB3CCD62}"/>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Charts!$B$85</c15:sqref>
                        </c15:formulaRef>
                      </c:ext>
                    </c:extLst>
                    <c:strCache>
                      <c:ptCount val="1"/>
                      <c:pt idx="0">
                        <c:v>North America</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Charts!$G$85</c15:sqref>
                        </c15:formulaRef>
                      </c:ext>
                    </c:extLst>
                    <c:numCache>
                      <c:formatCode>0.0%</c:formatCode>
                      <c:ptCount val="1"/>
                      <c:pt idx="0">
                        <c:v>0.20398735716022368</c:v>
                      </c:pt>
                    </c:numCache>
                  </c:numRef>
                </c:val>
                <c:extLst xmlns:c15="http://schemas.microsoft.com/office/drawing/2012/chart">
                  <c:ext xmlns:c16="http://schemas.microsoft.com/office/drawing/2014/chart" uri="{C3380CC4-5D6E-409C-BE32-E72D297353CC}">
                    <c16:uniqueId val="{00000000-83C3-4F69-92D9-136EEB3CCD6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Charts!$B$88</c15:sqref>
                        </c15:formulaRef>
                      </c:ext>
                    </c:extLst>
                    <c:strCache>
                      <c:ptCount val="1"/>
                      <c:pt idx="0">
                        <c:v>Asia Pacific</c:v>
                      </c:pt>
                    </c:strCache>
                  </c:strRef>
                </c:tx>
                <c:spPr>
                  <a:pattFill prst="narHorz">
                    <a:fgClr>
                      <a:schemeClr val="accent1">
                        <a:lumMod val="60000"/>
                      </a:schemeClr>
                    </a:fgClr>
                    <a:bgClr>
                      <a:schemeClr val="accent1">
                        <a:lumMod val="60000"/>
                        <a:lumMod val="20000"/>
                        <a:lumOff val="80000"/>
                      </a:schemeClr>
                    </a:bgClr>
                  </a:pattFill>
                  <a:ln>
                    <a:noFill/>
                  </a:ln>
                  <a:effectLst>
                    <a:innerShdw blurRad="114300">
                      <a:schemeClr val="accent1">
                        <a:lumMod val="60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Charts!$G$88</c15:sqref>
                        </c15:formulaRef>
                      </c:ext>
                    </c:extLst>
                    <c:numCache>
                      <c:formatCode>0.0%</c:formatCode>
                      <c:ptCount val="1"/>
                      <c:pt idx="0">
                        <c:v>0.28411476557032889</c:v>
                      </c:pt>
                    </c:numCache>
                  </c:numRef>
                </c:val>
                <c:extLst xmlns:c15="http://schemas.microsoft.com/office/drawing/2012/chart">
                  <c:ext xmlns:c16="http://schemas.microsoft.com/office/drawing/2014/chart" uri="{C3380CC4-5D6E-409C-BE32-E72D297353CC}">
                    <c16:uniqueId val="{0000000F-83C3-4F69-92D9-136EEB3CCD62}"/>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Charts!$B$89</c15:sqref>
                        </c15:formulaRef>
                      </c:ext>
                    </c:extLst>
                    <c:strCache>
                      <c:ptCount val="1"/>
                      <c:pt idx="0">
                        <c:v>Africa/Eurasia</c:v>
                      </c:pt>
                    </c:strCache>
                  </c:strRef>
                </c:tx>
                <c:spPr>
                  <a:pattFill prst="narHorz">
                    <a:fgClr>
                      <a:schemeClr val="accent3">
                        <a:lumMod val="60000"/>
                      </a:schemeClr>
                    </a:fgClr>
                    <a:bgClr>
                      <a:schemeClr val="accent3">
                        <a:lumMod val="60000"/>
                        <a:lumMod val="20000"/>
                        <a:lumOff val="80000"/>
                      </a:schemeClr>
                    </a:bgClr>
                  </a:pattFill>
                  <a:ln>
                    <a:noFill/>
                  </a:ln>
                  <a:effectLst>
                    <a:innerShdw blurRad="114300">
                      <a:schemeClr val="accent3">
                        <a:lumMod val="60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Charts!$G$89</c15:sqref>
                        </c15:formulaRef>
                      </c:ext>
                    </c:extLst>
                    <c:numCache>
                      <c:formatCode>0.0%</c:formatCode>
                      <c:ptCount val="1"/>
                      <c:pt idx="0">
                        <c:v>0.23105022831050229</c:v>
                      </c:pt>
                    </c:numCache>
                  </c:numRef>
                </c:val>
                <c:extLst xmlns:c15="http://schemas.microsoft.com/office/drawing/2012/chart">
                  <c:ext xmlns:c16="http://schemas.microsoft.com/office/drawing/2014/chart" uri="{C3380CC4-5D6E-409C-BE32-E72D297353CC}">
                    <c16:uniqueId val="{00000010-83C3-4F69-92D9-136EEB3CCD62}"/>
                  </c:ext>
                </c:extLst>
              </c15:ser>
            </c15:filteredBarSeries>
            <c15:filteredBarSeries>
              <c15:ser>
                <c:idx val="6"/>
                <c:order val="7"/>
                <c:tx>
                  <c:strRef>
                    <c:extLst xmlns:c15="http://schemas.microsoft.com/office/drawing/2012/chart">
                      <c:ext xmlns:c15="http://schemas.microsoft.com/office/drawing/2012/chart" uri="{02D57815-91ED-43cb-92C2-25804820EDAC}">
                        <c15:formulaRef>
                          <c15:sqref>Charts!$B$91</c15:sqref>
                        </c15:formulaRef>
                      </c:ext>
                    </c:extLst>
                    <c:strCache>
                      <c:ptCount val="1"/>
                    </c:strCache>
                  </c:strRef>
                </c:tx>
                <c:spPr>
                  <a:pattFill prst="narHorz">
                    <a:fgClr>
                      <a:schemeClr val="accent1">
                        <a:lumMod val="80000"/>
                        <a:lumOff val="20000"/>
                      </a:schemeClr>
                    </a:fgClr>
                    <a:bgClr>
                      <a:schemeClr val="accent1">
                        <a:lumMod val="80000"/>
                        <a:lumOff val="20000"/>
                        <a:lumMod val="20000"/>
                        <a:lumOff val="80000"/>
                      </a:schemeClr>
                    </a:bgClr>
                  </a:pattFill>
                  <a:ln>
                    <a:noFill/>
                  </a:ln>
                  <a:effectLst>
                    <a:innerShdw blurRad="114300">
                      <a:schemeClr val="accent1">
                        <a:lumMod val="80000"/>
                        <a:lumOff val="20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Charts!$G$91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2-83C3-4F69-92D9-136EEB3CCD62}"/>
                  </c:ext>
                </c:extLst>
              </c15:ser>
            </c15:filteredBarSeries>
          </c:ext>
        </c:extLst>
      </c:barChart>
      <c:catAx>
        <c:axId val="33271704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714640"/>
        <c:crossesAt val="0"/>
        <c:auto val="1"/>
        <c:lblAlgn val="ctr"/>
        <c:lblOffset val="100"/>
        <c:noMultiLvlLbl val="0"/>
      </c:catAx>
      <c:valAx>
        <c:axId val="332714640"/>
        <c:scaling>
          <c:orientation val="minMax"/>
          <c:max val="0.35000000000000003"/>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717040"/>
        <c:crosses val="autoZero"/>
        <c:crossBetween val="between"/>
      </c:valAx>
      <c:spPr>
        <a:noFill/>
        <a:ln>
          <a:noFill/>
        </a:ln>
        <a:effectLst/>
      </c:spPr>
    </c:plotArea>
    <c:legend>
      <c:legendPos val="t"/>
      <c:layout>
        <c:manualLayout>
          <c:xMode val="edge"/>
          <c:yMode val="edge"/>
          <c:x val="0.20227832778431193"/>
          <c:y val="0.18347971329717427"/>
          <c:w val="0.57937921507491508"/>
          <c:h val="7.25256428912254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IN" b="1" baseline="0">
                <a:solidFill>
                  <a:schemeClr val="tx1"/>
                </a:solidFill>
              </a:rPr>
              <a:t>FY 2024 Segment Revenue </a:t>
            </a:r>
          </a:p>
        </c:rich>
      </c:tx>
      <c:overlay val="0"/>
      <c:spPr>
        <a:noFill/>
        <a:ln>
          <a:solidFill>
            <a:schemeClr val="bg1">
              <a:alpha val="85000"/>
            </a:schemeClr>
          </a:solid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930077691453942"/>
          <c:y val="0.22946859903381642"/>
          <c:w val="0.51942286348501676"/>
          <c:h val="0.56521739130434789"/>
        </c:manualLayout>
      </c:layout>
      <c:doughnutChart>
        <c:varyColors val="1"/>
        <c:ser>
          <c:idx val="0"/>
          <c:order val="0"/>
          <c:tx>
            <c:strRef>
              <c:f>Charts!$G$10</c:f>
              <c:strCache>
                <c:ptCount val="1"/>
                <c:pt idx="0">
                  <c:v>2024A</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E45-4F55-8EC8-FE5CB9BC15D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E45-4F55-8EC8-FE5CB9BC15D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E45-4F55-8EC8-FE5CB9BC15D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E45-4F55-8EC8-FE5CB9BC15D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E45-4F55-8EC8-FE5CB9BC15D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E45-4F55-8EC8-FE5CB9BC15D0}"/>
              </c:ext>
            </c:extLst>
          </c:dPt>
          <c:dLbls>
            <c:dLbl>
              <c:idx val="5"/>
              <c:delete val="1"/>
              <c:extLst>
                <c:ext xmlns:c15="http://schemas.microsoft.com/office/drawing/2012/chart" uri="{CE6537A1-D6FC-4f65-9D91-7224C49458BB}"/>
                <c:ext xmlns:c16="http://schemas.microsoft.com/office/drawing/2014/chart" uri="{C3380CC4-5D6E-409C-BE32-E72D297353CC}">
                  <c16:uniqueId val="{0000000B-0E45-4F55-8EC8-FE5CB9BC15D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Charts!$B$13:$B$20</c15:sqref>
                  </c15:fullRef>
                </c:ext>
              </c:extLst>
              <c:f>(Charts!$B$13:$B$17,Charts!$B$19)</c:f>
              <c:strCache>
                <c:ptCount val="6"/>
                <c:pt idx="0">
                  <c:v>North America</c:v>
                </c:pt>
                <c:pt idx="1">
                  <c:v>Latin America</c:v>
                </c:pt>
                <c:pt idx="2">
                  <c:v>Europe</c:v>
                </c:pt>
                <c:pt idx="3">
                  <c:v>Asia Pacific</c:v>
                </c:pt>
                <c:pt idx="4">
                  <c:v>Africa/Eurasia</c:v>
                </c:pt>
                <c:pt idx="5">
                  <c:v>Pet Nutrition</c:v>
                </c:pt>
              </c:strCache>
            </c:strRef>
          </c:cat>
          <c:val>
            <c:numRef>
              <c:extLst>
                <c:ext xmlns:c15="http://schemas.microsoft.com/office/drawing/2012/chart" uri="{02D57815-91ED-43cb-92C2-25804820EDAC}">
                  <c15:fullRef>
                    <c15:sqref>Charts!$G$13:$G$20</c15:sqref>
                  </c15:fullRef>
                </c:ext>
              </c:extLst>
              <c:f>(Charts!$G$13:$G$17,Charts!$G$19)</c:f>
              <c:numCache>
                <c:formatCode>#,##0</c:formatCode>
                <c:ptCount val="6"/>
                <c:pt idx="0">
                  <c:v>4113</c:v>
                </c:pt>
                <c:pt idx="1">
                  <c:v>4782</c:v>
                </c:pt>
                <c:pt idx="2">
                  <c:v>2770</c:v>
                </c:pt>
                <c:pt idx="3">
                  <c:v>2858</c:v>
                </c:pt>
                <c:pt idx="4">
                  <c:v>1095</c:v>
                </c:pt>
                <c:pt idx="5">
                  <c:v>4483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C-0E45-4F55-8EC8-FE5CB9BC15D0}"/>
            </c:ext>
          </c:extLst>
        </c:ser>
        <c:dLbls>
          <c:showLegendKey val="0"/>
          <c:showVal val="0"/>
          <c:showCatName val="0"/>
          <c:showSerName val="0"/>
          <c:showPercent val="1"/>
          <c:showBubbleSize val="0"/>
          <c:showLeaderLines val="1"/>
        </c:dLbls>
        <c:firstSliceAng val="0"/>
        <c:holeSize val="42"/>
      </c:doughnutChart>
      <c:spPr>
        <a:noFill/>
        <a:ln>
          <a:noFill/>
        </a:ln>
        <a:effectLst/>
      </c:spPr>
    </c:plotArea>
    <c:legend>
      <c:legendPos val="r"/>
      <c:layout>
        <c:manualLayout>
          <c:xMode val="edge"/>
          <c:yMode val="edge"/>
          <c:x val="0.66125885207745261"/>
          <c:y val="0.37670952362838706"/>
          <c:w val="0.25735010093771576"/>
          <c:h val="0.4147353340259113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49685534591195"/>
          <c:y val="0.38978494623655913"/>
          <c:w val="0.37735849056603776"/>
          <c:h val="0.32258064516129031"/>
        </c:manualLayout>
      </c:layout>
      <c:doughnutChart>
        <c:varyColors val="1"/>
        <c:ser>
          <c:idx val="0"/>
          <c:order val="0"/>
          <c:tx>
            <c:strRef>
              <c:f>Charts!$G$10</c:f>
              <c:strCache>
                <c:ptCount val="1"/>
                <c:pt idx="0">
                  <c:v>2024A</c:v>
                </c:pt>
              </c:strCache>
            </c:strRef>
          </c:tx>
          <c:dPt>
            <c:idx val="0"/>
            <c:bubble3D val="0"/>
            <c:spPr>
              <a:solidFill>
                <a:srgbClr val="FF0000"/>
              </a:solidFill>
              <a:ln w="19050">
                <a:solidFill>
                  <a:schemeClr val="lt1"/>
                </a:solidFill>
              </a:ln>
              <a:effectLst/>
            </c:spPr>
            <c:extLst>
              <c:ext xmlns:c16="http://schemas.microsoft.com/office/drawing/2014/chart" uri="{C3380CC4-5D6E-409C-BE32-E72D297353CC}">
                <c16:uniqueId val="{00000041-CF6D-47E9-AB51-3FD1DD8074BD}"/>
              </c:ext>
            </c:extLst>
          </c:dPt>
          <c:dPt>
            <c:idx val="1"/>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B-CF6D-47E9-AB51-3FD1DD8074B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Charts!$B$13:$B$20</c15:sqref>
                  </c15:fullRef>
                </c:ext>
              </c:extLst>
              <c:f>Charts!$B$18:$B$19</c:f>
              <c:strCache>
                <c:ptCount val="2"/>
                <c:pt idx="0">
                  <c:v>Total Oral, Personal and Home Care</c:v>
                </c:pt>
                <c:pt idx="1">
                  <c:v>Pet Nutrition</c:v>
                </c:pt>
              </c:strCache>
            </c:strRef>
          </c:cat>
          <c:val>
            <c:numRef>
              <c:extLst>
                <c:ext xmlns:c15="http://schemas.microsoft.com/office/drawing/2012/chart" uri="{02D57815-91ED-43cb-92C2-25804820EDAC}">
                  <c15:fullRef>
                    <c15:sqref>Charts!$G$13:$G$20</c15:sqref>
                  </c15:fullRef>
                </c:ext>
              </c:extLst>
              <c:f>Charts!$G$18:$G$19</c:f>
              <c:numCache>
                <c:formatCode>#,##0</c:formatCode>
                <c:ptCount val="2"/>
                <c:pt idx="0">
                  <c:v>15618</c:v>
                </c:pt>
                <c:pt idx="1">
                  <c:v>4483</c:v>
                </c:pt>
              </c:numCache>
            </c:numRef>
          </c:val>
          <c:extLst>
            <c:ext xmlns:c15="http://schemas.microsoft.com/office/drawing/2012/chart" uri="{02D57815-91ED-43cb-92C2-25804820EDAC}">
              <c15:categoryFilterExceptions>
                <c15:categoryFilterException>
                  <c15:sqref>Charts!$G$13</c15:sqref>
                  <c15:spPr xmlns:c15="http://schemas.microsoft.com/office/drawing/2012/chart">
                    <a:solidFill>
                      <a:schemeClr val="accent1"/>
                    </a:solidFill>
                    <a:ln w="19050">
                      <a:solidFill>
                        <a:schemeClr val="lt1"/>
                      </a:solidFill>
                    </a:ln>
                    <a:effectLst/>
                  </c15:spPr>
                  <c15:bubble3D val="0"/>
                </c15:categoryFilterException>
                <c15:categoryFilterException>
                  <c15:sqref>Charts!$G$14</c15:sqref>
                  <c15:spPr xmlns:c15="http://schemas.microsoft.com/office/drawing/2012/chart">
                    <a:solidFill>
                      <a:schemeClr val="accent2"/>
                    </a:solidFill>
                    <a:ln w="19050">
                      <a:solidFill>
                        <a:schemeClr val="lt1"/>
                      </a:solidFill>
                    </a:ln>
                    <a:effectLst/>
                  </c15:spPr>
                  <c15:bubble3D val="0"/>
                </c15:categoryFilterException>
                <c15:categoryFilterException>
                  <c15:sqref>Charts!$G$15</c15:sqref>
                  <c15:spPr xmlns:c15="http://schemas.microsoft.com/office/drawing/2012/chart">
                    <a:solidFill>
                      <a:schemeClr val="accent3"/>
                    </a:solidFill>
                    <a:ln w="19050">
                      <a:solidFill>
                        <a:schemeClr val="lt1"/>
                      </a:solidFill>
                    </a:ln>
                    <a:effectLst/>
                  </c15:spPr>
                  <c15:bubble3D val="0"/>
                </c15:categoryFilterException>
                <c15:categoryFilterException>
                  <c15:sqref>Charts!$G$16</c15:sqref>
                  <c15:spPr xmlns:c15="http://schemas.microsoft.com/office/drawing/2012/chart">
                    <a:solidFill>
                      <a:schemeClr val="accent4"/>
                    </a:solidFill>
                    <a:ln w="19050">
                      <a:solidFill>
                        <a:schemeClr val="lt1"/>
                      </a:solidFill>
                    </a:ln>
                    <a:effectLst/>
                  </c15:spPr>
                  <c15:bubble3D val="0"/>
                </c15:categoryFilterException>
                <c15:categoryFilterException>
                  <c15:sqref>Charts!$G$17</c15:sqref>
                  <c15:spPr xmlns:c15="http://schemas.microsoft.com/office/drawing/2012/chart">
                    <a:solidFill>
                      <a:schemeClr val="accent5"/>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C-CF6D-47E9-AB51-3FD1DD8074BD}"/>
            </c:ext>
          </c:extLst>
        </c:ser>
        <c:dLbls>
          <c:showLegendKey val="0"/>
          <c:showVal val="0"/>
          <c:showCatName val="0"/>
          <c:showSerName val="0"/>
          <c:showPercent val="0"/>
          <c:showBubbleSize val="0"/>
          <c:showLeaderLines val="0"/>
        </c:dLbls>
        <c:firstSliceAng val="360"/>
        <c:holeSize val="12"/>
      </c:doughnutChart>
      <c:spPr>
        <a:noFill/>
        <a:ln>
          <a:noFill/>
        </a:ln>
        <a:effectLst/>
      </c:spPr>
    </c:plotArea>
    <c:legend>
      <c:legendPos val="r"/>
      <c:layout>
        <c:manualLayout>
          <c:xMode val="edge"/>
          <c:yMode val="edge"/>
          <c:x val="0.67891686411538987"/>
          <c:y val="3.2765079122391252E-2"/>
          <c:w val="0.32108313588461018"/>
          <c:h val="0.42398852174213686"/>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baseline="0">
                <a:solidFill>
                  <a:schemeClr val="tx1"/>
                </a:solidFill>
              </a:rPr>
              <a:t>FY 2023 Segment Revenue </a:t>
            </a:r>
          </a:p>
        </c:rich>
      </c:tx>
      <c:overlay val="0"/>
      <c:spPr>
        <a:noFill/>
        <a:ln>
          <a:solidFill>
            <a:schemeClr val="bg1">
              <a:alpha val="8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930077691453942"/>
          <c:y val="0.22946859903381642"/>
          <c:w val="0.51942286348501676"/>
          <c:h val="0.56521739130434789"/>
        </c:manualLayout>
      </c:layout>
      <c:doughnutChart>
        <c:varyColors val="1"/>
        <c:ser>
          <c:idx val="0"/>
          <c:order val="0"/>
          <c:tx>
            <c:strRef>
              <c:f>Charts!$G$10</c:f>
              <c:strCache>
                <c:ptCount val="1"/>
                <c:pt idx="0">
                  <c:v>2024A</c:v>
                </c:pt>
              </c:strCache>
            </c:strRef>
          </c:tx>
          <c:spPr>
            <a:solidFill>
              <a:srgbClr val="FF0000"/>
            </a:solidFill>
          </c:spPr>
          <c:dPt>
            <c:idx val="0"/>
            <c:bubble3D val="0"/>
            <c:spPr>
              <a:solidFill>
                <a:srgbClr val="FF2D2D"/>
              </a:solidFill>
              <a:ln w="19050">
                <a:solidFill>
                  <a:schemeClr val="lt1"/>
                </a:solidFill>
              </a:ln>
              <a:effectLst/>
            </c:spPr>
            <c:extLst>
              <c:ext xmlns:c16="http://schemas.microsoft.com/office/drawing/2014/chart" uri="{C3380CC4-5D6E-409C-BE32-E72D297353CC}">
                <c16:uniqueId val="{00000001-B375-4C90-9160-48B4AAF41694}"/>
              </c:ext>
            </c:extLst>
          </c:dPt>
          <c:dPt>
            <c:idx val="1"/>
            <c:bubble3D val="0"/>
            <c:spPr>
              <a:solidFill>
                <a:srgbClr val="B00000"/>
              </a:solidFill>
              <a:ln w="19050">
                <a:solidFill>
                  <a:schemeClr val="lt1"/>
                </a:solidFill>
              </a:ln>
              <a:effectLst/>
            </c:spPr>
            <c:extLst>
              <c:ext xmlns:c16="http://schemas.microsoft.com/office/drawing/2014/chart" uri="{C3380CC4-5D6E-409C-BE32-E72D297353CC}">
                <c16:uniqueId val="{00000003-B375-4C90-9160-48B4AAF41694}"/>
              </c:ext>
            </c:extLst>
          </c:dPt>
          <c:dPt>
            <c:idx val="2"/>
            <c:bubble3D val="0"/>
            <c:spPr>
              <a:solidFill>
                <a:srgbClr val="FF9797"/>
              </a:solidFill>
              <a:ln w="19050">
                <a:solidFill>
                  <a:schemeClr val="lt1"/>
                </a:solidFill>
              </a:ln>
              <a:effectLst/>
            </c:spPr>
            <c:extLst>
              <c:ext xmlns:c16="http://schemas.microsoft.com/office/drawing/2014/chart" uri="{C3380CC4-5D6E-409C-BE32-E72D297353CC}">
                <c16:uniqueId val="{00000005-B375-4C90-9160-48B4AAF41694}"/>
              </c:ext>
            </c:extLst>
          </c:dPt>
          <c:dPt>
            <c:idx val="3"/>
            <c:bubble3D val="0"/>
            <c:spPr>
              <a:solidFill>
                <a:srgbClr val="FF5D5D"/>
              </a:solidFill>
              <a:ln w="19050">
                <a:solidFill>
                  <a:schemeClr val="lt1"/>
                </a:solidFill>
              </a:ln>
              <a:effectLst/>
            </c:spPr>
            <c:extLst>
              <c:ext xmlns:c16="http://schemas.microsoft.com/office/drawing/2014/chart" uri="{C3380CC4-5D6E-409C-BE32-E72D297353CC}">
                <c16:uniqueId val="{00000007-B375-4C90-9160-48B4AAF41694}"/>
              </c:ext>
            </c:extLst>
          </c:dPt>
          <c:dPt>
            <c:idx val="4"/>
            <c:bubble3D val="0"/>
            <c:spPr>
              <a:solidFill>
                <a:srgbClr val="FFD5D5"/>
              </a:solidFill>
              <a:ln w="19050">
                <a:solidFill>
                  <a:schemeClr val="lt1"/>
                </a:solidFill>
              </a:ln>
              <a:effectLst/>
            </c:spPr>
            <c:extLst>
              <c:ext xmlns:c16="http://schemas.microsoft.com/office/drawing/2014/chart" uri="{C3380CC4-5D6E-409C-BE32-E72D297353CC}">
                <c16:uniqueId val="{00000009-B375-4C90-9160-48B4AAF41694}"/>
              </c:ext>
            </c:extLst>
          </c:dPt>
          <c:dPt>
            <c:idx val="5"/>
            <c:bubble3D val="0"/>
            <c:spPr>
              <a:noFill/>
              <a:ln w="19050">
                <a:solidFill>
                  <a:schemeClr val="lt1"/>
                </a:solidFill>
              </a:ln>
              <a:effectLst/>
            </c:spPr>
            <c:extLst>
              <c:ext xmlns:c16="http://schemas.microsoft.com/office/drawing/2014/chart" uri="{C3380CC4-5D6E-409C-BE32-E72D297353CC}">
                <c16:uniqueId val="{0000000B-B375-4C90-9160-48B4AAF41694}"/>
              </c:ext>
            </c:extLst>
          </c:dPt>
          <c:dLbls>
            <c:delete val="1"/>
          </c:dLbls>
          <c:cat>
            <c:strRef>
              <c:extLst>
                <c:ext xmlns:c15="http://schemas.microsoft.com/office/drawing/2012/chart" uri="{02D57815-91ED-43cb-92C2-25804820EDAC}">
                  <c15:fullRef>
                    <c15:sqref>Charts!$B$13:$B$20</c15:sqref>
                  </c15:fullRef>
                </c:ext>
              </c:extLst>
              <c:f>(Charts!$B$13:$B$17,Charts!$B$19)</c:f>
              <c:strCache>
                <c:ptCount val="6"/>
                <c:pt idx="0">
                  <c:v>North America</c:v>
                </c:pt>
                <c:pt idx="1">
                  <c:v>Latin America</c:v>
                </c:pt>
                <c:pt idx="2">
                  <c:v>Europe</c:v>
                </c:pt>
                <c:pt idx="3">
                  <c:v>Asia Pacific</c:v>
                </c:pt>
                <c:pt idx="4">
                  <c:v>Africa/Eurasia</c:v>
                </c:pt>
                <c:pt idx="5">
                  <c:v>Pet Nutrition</c:v>
                </c:pt>
              </c:strCache>
            </c:strRef>
          </c:cat>
          <c:val>
            <c:numRef>
              <c:extLst>
                <c:ext xmlns:c15="http://schemas.microsoft.com/office/drawing/2012/chart" uri="{02D57815-91ED-43cb-92C2-25804820EDAC}">
                  <c15:fullRef>
                    <c15:sqref>Charts!$G$13:$G$20</c15:sqref>
                  </c15:fullRef>
                </c:ext>
              </c:extLst>
              <c:f>(Charts!$G$13:$G$17,Charts!$G$19)</c:f>
              <c:numCache>
                <c:formatCode>#,##0</c:formatCode>
                <c:ptCount val="6"/>
                <c:pt idx="0">
                  <c:v>4113</c:v>
                </c:pt>
                <c:pt idx="1">
                  <c:v>4782</c:v>
                </c:pt>
                <c:pt idx="2">
                  <c:v>2770</c:v>
                </c:pt>
                <c:pt idx="3">
                  <c:v>2858</c:v>
                </c:pt>
                <c:pt idx="4">
                  <c:v>1095</c:v>
                </c:pt>
                <c:pt idx="5">
                  <c:v>4483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C-B375-4C90-9160-48B4AAF41694}"/>
            </c:ext>
          </c:extLst>
        </c:ser>
        <c:dLbls>
          <c:showLegendKey val="0"/>
          <c:showVal val="0"/>
          <c:showCatName val="0"/>
          <c:showSerName val="0"/>
          <c:showPercent val="1"/>
          <c:showBubbleSize val="0"/>
          <c:showLeaderLines val="1"/>
        </c:dLbls>
        <c:firstSliceAng val="0"/>
        <c:holeSize val="42"/>
      </c:doughnutChart>
      <c:spPr>
        <a:noFill/>
        <a:ln>
          <a:noFill/>
        </a:ln>
        <a:effectLst/>
      </c:spPr>
    </c:plotArea>
    <c:legend>
      <c:legendPos val="r"/>
      <c:layout>
        <c:manualLayout>
          <c:xMode val="edge"/>
          <c:yMode val="edge"/>
          <c:x val="0.66125885207745261"/>
          <c:y val="0.37670952362838706"/>
          <c:w val="0.25735010093771576"/>
          <c:h val="0.407611548556430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49685534591195"/>
          <c:y val="0.38978494623655913"/>
          <c:w val="0.37735849056603776"/>
          <c:h val="0.32258064516129031"/>
        </c:manualLayout>
      </c:layout>
      <c:doughnutChart>
        <c:varyColors val="1"/>
        <c:ser>
          <c:idx val="0"/>
          <c:order val="0"/>
          <c:tx>
            <c:strRef>
              <c:f>Charts!$G$10</c:f>
              <c:strCache>
                <c:ptCount val="1"/>
                <c:pt idx="0">
                  <c:v>2024A</c:v>
                </c:pt>
              </c:strCache>
            </c:strRef>
          </c:tx>
          <c:dPt>
            <c:idx val="0"/>
            <c:bubble3D val="0"/>
            <c:spPr>
              <a:solidFill>
                <a:srgbClr val="FF0000"/>
              </a:solidFill>
              <a:ln w="19050">
                <a:solidFill>
                  <a:schemeClr val="lt1"/>
                </a:solidFill>
              </a:ln>
              <a:effectLst/>
            </c:spPr>
            <c:extLst>
              <c:ext xmlns:c16="http://schemas.microsoft.com/office/drawing/2014/chart" uri="{C3380CC4-5D6E-409C-BE32-E72D297353CC}">
                <c16:uniqueId val="{00000001-9699-4466-91ED-B23624B6FDDF}"/>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9699-4466-91ED-B23624B6FDDF}"/>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Charts!$B$13:$B$20</c15:sqref>
                  </c15:fullRef>
                </c:ext>
              </c:extLst>
              <c:f>Charts!$B$18:$B$19</c:f>
              <c:strCache>
                <c:ptCount val="2"/>
                <c:pt idx="0">
                  <c:v>Total Oral, Personal and Home Care</c:v>
                </c:pt>
                <c:pt idx="1">
                  <c:v>Pet Nutrition</c:v>
                </c:pt>
              </c:strCache>
            </c:strRef>
          </c:cat>
          <c:val>
            <c:numRef>
              <c:extLst>
                <c:ext xmlns:c15="http://schemas.microsoft.com/office/drawing/2012/chart" uri="{02D57815-91ED-43cb-92C2-25804820EDAC}">
                  <c15:fullRef>
                    <c15:sqref>Charts!$G$13:$G$20</c15:sqref>
                  </c15:fullRef>
                </c:ext>
              </c:extLst>
              <c:f>Charts!$G$18:$G$19</c:f>
              <c:numCache>
                <c:formatCode>#,##0</c:formatCode>
                <c:ptCount val="2"/>
                <c:pt idx="0">
                  <c:v>15618</c:v>
                </c:pt>
                <c:pt idx="1">
                  <c:v>4483</c:v>
                </c:pt>
              </c:numCache>
            </c:numRef>
          </c:val>
          <c:extLst>
            <c:ext xmlns:c15="http://schemas.microsoft.com/office/drawing/2012/chart" uri="{02D57815-91ED-43cb-92C2-25804820EDAC}">
              <c15:categoryFilterExceptions>
                <c15:categoryFilterException>
                  <c15:sqref>Charts!$G$13</c15:sqref>
                  <c15:spPr xmlns:c15="http://schemas.microsoft.com/office/drawing/2012/chart">
                    <a:solidFill>
                      <a:schemeClr val="accent1"/>
                    </a:solidFill>
                    <a:ln w="19050">
                      <a:solidFill>
                        <a:schemeClr val="lt1"/>
                      </a:solidFill>
                    </a:ln>
                    <a:effectLst/>
                  </c15:spPr>
                  <c15:bubble3D val="0"/>
                </c15:categoryFilterException>
                <c15:categoryFilterException>
                  <c15:sqref>Charts!$G$14</c15:sqref>
                  <c15:spPr xmlns:c15="http://schemas.microsoft.com/office/drawing/2012/chart">
                    <a:solidFill>
                      <a:schemeClr val="accent2"/>
                    </a:solidFill>
                    <a:ln w="19050">
                      <a:solidFill>
                        <a:schemeClr val="lt1"/>
                      </a:solidFill>
                    </a:ln>
                    <a:effectLst/>
                  </c15:spPr>
                  <c15:bubble3D val="0"/>
                </c15:categoryFilterException>
                <c15:categoryFilterException>
                  <c15:sqref>Charts!$G$15</c15:sqref>
                  <c15:spPr xmlns:c15="http://schemas.microsoft.com/office/drawing/2012/chart">
                    <a:solidFill>
                      <a:schemeClr val="accent3"/>
                    </a:solidFill>
                    <a:ln w="19050">
                      <a:solidFill>
                        <a:schemeClr val="lt1"/>
                      </a:solidFill>
                    </a:ln>
                    <a:effectLst/>
                  </c15:spPr>
                  <c15:bubble3D val="0"/>
                </c15:categoryFilterException>
                <c15:categoryFilterException>
                  <c15:sqref>Charts!$G$16</c15:sqref>
                  <c15:spPr xmlns:c15="http://schemas.microsoft.com/office/drawing/2012/chart">
                    <a:solidFill>
                      <a:schemeClr val="accent4"/>
                    </a:solidFill>
                    <a:ln w="19050">
                      <a:solidFill>
                        <a:schemeClr val="lt1"/>
                      </a:solidFill>
                    </a:ln>
                    <a:effectLst/>
                  </c15:spPr>
                  <c15:bubble3D val="0"/>
                </c15:categoryFilterException>
                <c15:categoryFilterException>
                  <c15:sqref>Charts!$G$17</c15:sqref>
                  <c15:spPr xmlns:c15="http://schemas.microsoft.com/office/drawing/2012/chart">
                    <a:solidFill>
                      <a:schemeClr val="accent5"/>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4-9699-4466-91ED-B23624B6FDDF}"/>
            </c:ext>
          </c:extLst>
        </c:ser>
        <c:dLbls>
          <c:showLegendKey val="0"/>
          <c:showVal val="0"/>
          <c:showCatName val="0"/>
          <c:showSerName val="0"/>
          <c:showPercent val="0"/>
          <c:showBubbleSize val="0"/>
          <c:showLeaderLines val="0"/>
        </c:dLbls>
        <c:firstSliceAng val="360"/>
        <c:holeSize val="12"/>
      </c:doughnutChart>
      <c:spPr>
        <a:noFill/>
        <a:ln>
          <a:noFill/>
        </a:ln>
        <a:effectLst/>
      </c:spPr>
    </c:plotArea>
    <c:legend>
      <c:legendPos val="r"/>
      <c:layout>
        <c:manualLayout>
          <c:xMode val="edge"/>
          <c:yMode val="edge"/>
          <c:x val="0.67891686411538987"/>
          <c:y val="3.2765079122391252E-2"/>
          <c:w val="0.32108313588461018"/>
          <c:h val="0.416670489004408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25566934819486"/>
          <c:y val="0.13748175950326505"/>
          <c:w val="0.86199092066281413"/>
          <c:h val="0.75192802056555275"/>
        </c:manualLayout>
      </c:layout>
      <c:barChart>
        <c:barDir val="col"/>
        <c:grouping val="clustered"/>
        <c:varyColors val="0"/>
        <c:ser>
          <c:idx val="1"/>
          <c:order val="0"/>
          <c:tx>
            <c:strRef>
              <c:f>Charts!$B$86</c:f>
              <c:strCache>
                <c:ptCount val="1"/>
                <c:pt idx="0">
                  <c:v>Latin America</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Pt>
            <c:idx val="0"/>
            <c:invertIfNegative val="0"/>
            <c:bubble3D val="0"/>
            <c:spPr>
              <a:pattFill prst="narHorz">
                <a:fgClr>
                  <a:schemeClr val="accent2"/>
                </a:fgClr>
                <a:bgClr>
                  <a:schemeClr val="accent2">
                    <a:lumMod val="20000"/>
                    <a:lumOff val="80000"/>
                  </a:schemeClr>
                </a:bgClr>
              </a:pattFill>
              <a:ln>
                <a:noFill/>
              </a:ln>
              <a:effectLst>
                <a:innerShdw blurRad="114300">
                  <a:schemeClr val="accent2"/>
                </a:innerShdw>
              </a:effectLst>
            </c:spPr>
            <c:extLst>
              <c:ext xmlns:c16="http://schemas.microsoft.com/office/drawing/2014/chart" uri="{C3380CC4-5D6E-409C-BE32-E72D297353CC}">
                <c16:uniqueId val="{00000000-4271-4FDA-9949-050E9DC2BB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Charts!$G$86</c:f>
              <c:numCache>
                <c:formatCode>0.0%</c:formatCode>
                <c:ptCount val="1"/>
                <c:pt idx="0">
                  <c:v>0.31911334169803429</c:v>
                </c:pt>
              </c:numCache>
            </c:numRef>
          </c:val>
          <c:extLst>
            <c:ext xmlns:c16="http://schemas.microsoft.com/office/drawing/2014/chart" uri="{C3380CC4-5D6E-409C-BE32-E72D297353CC}">
              <c16:uniqueId val="{00000001-0CBF-4675-8EE5-5BA9304E69C5}"/>
            </c:ext>
          </c:extLst>
        </c:ser>
        <c:ser>
          <c:idx val="3"/>
          <c:order val="1"/>
          <c:tx>
            <c:strRef>
              <c:f>Charts!$B$88</c:f>
              <c:strCache>
                <c:ptCount val="1"/>
                <c:pt idx="0">
                  <c:v>Asia Pacific</c:v>
                </c:pt>
              </c:strCache>
            </c:strRef>
          </c:tx>
          <c:spPr>
            <a:pattFill prst="narHorz">
              <a:fgClr>
                <a:schemeClr val="accent4"/>
              </a:fgClr>
              <a:bgClr>
                <a:schemeClr val="accent4">
                  <a:lumMod val="20000"/>
                  <a:lumOff val="80000"/>
                </a:schemeClr>
              </a:bgClr>
            </a:pattFill>
            <a:ln>
              <a:noFill/>
            </a:ln>
            <a:effectLst>
              <a:innerShdw blurRad="114300">
                <a:schemeClr val="accent4"/>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Charts!$G$88</c:f>
              <c:numCache>
                <c:formatCode>0.0%</c:formatCode>
                <c:ptCount val="1"/>
                <c:pt idx="0">
                  <c:v>0.28411476557032889</c:v>
                </c:pt>
              </c:numCache>
            </c:numRef>
          </c:val>
          <c:extLst>
            <c:ext xmlns:c16="http://schemas.microsoft.com/office/drawing/2014/chart" uri="{C3380CC4-5D6E-409C-BE32-E72D297353CC}">
              <c16:uniqueId val="{00000003-0CBF-4675-8EE5-5BA9304E69C5}"/>
            </c:ext>
          </c:extLst>
        </c:ser>
        <c:ser>
          <c:idx val="4"/>
          <c:order val="2"/>
          <c:tx>
            <c:strRef>
              <c:f>Charts!$B$89</c:f>
              <c:strCache>
                <c:ptCount val="1"/>
                <c:pt idx="0">
                  <c:v>Africa/Eurasia</c:v>
                </c:pt>
              </c:strCache>
            </c:strRef>
          </c:tx>
          <c:spPr>
            <a:pattFill prst="narHorz">
              <a:fgClr>
                <a:schemeClr val="accent5"/>
              </a:fgClr>
              <a:bgClr>
                <a:schemeClr val="accent5">
                  <a:lumMod val="20000"/>
                  <a:lumOff val="80000"/>
                </a:schemeClr>
              </a:bgClr>
            </a:pattFill>
            <a:ln>
              <a:noFill/>
            </a:ln>
            <a:effectLst>
              <a:innerShdw blurRad="114300">
                <a:schemeClr val="accent5"/>
              </a:innerShdw>
            </a:effectLst>
          </c:spPr>
          <c:invertIfNegative val="0"/>
          <c:dPt>
            <c:idx val="0"/>
            <c:invertIfNegative val="0"/>
            <c:bubble3D val="0"/>
            <c:spPr>
              <a:pattFill prst="narHorz">
                <a:fgClr>
                  <a:schemeClr val="accent5"/>
                </a:fgClr>
                <a:bgClr>
                  <a:schemeClr val="accent5">
                    <a:lumMod val="20000"/>
                    <a:lumOff val="80000"/>
                  </a:schemeClr>
                </a:bgClr>
              </a:pattFill>
              <a:ln>
                <a:noFill/>
              </a:ln>
              <a:effectLst>
                <a:innerShdw blurRad="114300">
                  <a:schemeClr val="accent5"/>
                </a:innerShdw>
              </a:effectLst>
            </c:spPr>
            <c:extLst>
              <c:ext xmlns:c16="http://schemas.microsoft.com/office/drawing/2014/chart" uri="{C3380CC4-5D6E-409C-BE32-E72D297353CC}">
                <c16:uniqueId val="{00000002-4271-4FDA-9949-050E9DC2BB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Charts!$G$89</c:f>
              <c:numCache>
                <c:formatCode>0.0%</c:formatCode>
                <c:ptCount val="1"/>
                <c:pt idx="0">
                  <c:v>0.23105022831050229</c:v>
                </c:pt>
              </c:numCache>
            </c:numRef>
          </c:val>
          <c:extLst>
            <c:ext xmlns:c16="http://schemas.microsoft.com/office/drawing/2014/chart" uri="{C3380CC4-5D6E-409C-BE32-E72D297353CC}">
              <c16:uniqueId val="{00000004-0CBF-4675-8EE5-5BA9304E69C5}"/>
            </c:ext>
          </c:extLst>
        </c:ser>
        <c:ser>
          <c:idx val="0"/>
          <c:order val="3"/>
          <c:tx>
            <c:strRef>
              <c:f>Charts!$B$85</c:f>
              <c:strCache>
                <c:ptCount val="1"/>
                <c:pt idx="0">
                  <c:v>North America</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extLst>
              <c:ext xmlns:c16="http://schemas.microsoft.com/office/drawing/2014/chart" uri="{C3380CC4-5D6E-409C-BE32-E72D297353CC}">
                <c16:uniqueId val="{00000001-4271-4FDA-9949-050E9DC2BB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Charts!$G$85</c:f>
              <c:numCache>
                <c:formatCode>0.0%</c:formatCode>
                <c:ptCount val="1"/>
                <c:pt idx="0">
                  <c:v>0.20398735716022368</c:v>
                </c:pt>
              </c:numCache>
            </c:numRef>
          </c:val>
          <c:extLst>
            <c:ext xmlns:c16="http://schemas.microsoft.com/office/drawing/2014/chart" uri="{C3380CC4-5D6E-409C-BE32-E72D297353CC}">
              <c16:uniqueId val="{00000000-0CBF-4675-8EE5-5BA9304E69C5}"/>
            </c:ext>
          </c:extLst>
        </c:ser>
        <c:ser>
          <c:idx val="2"/>
          <c:order val="4"/>
          <c:tx>
            <c:strRef>
              <c:f>Charts!$B$87</c:f>
              <c:strCache>
                <c:ptCount val="1"/>
                <c:pt idx="0">
                  <c:v>Europe</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Charts!$G$87</c:f>
              <c:numCache>
                <c:formatCode>0.0%</c:formatCode>
                <c:ptCount val="1"/>
                <c:pt idx="0">
                  <c:v>0.2375451263537906</c:v>
                </c:pt>
              </c:numCache>
            </c:numRef>
          </c:val>
          <c:extLst>
            <c:ext xmlns:c16="http://schemas.microsoft.com/office/drawing/2014/chart" uri="{C3380CC4-5D6E-409C-BE32-E72D297353CC}">
              <c16:uniqueId val="{00000002-0CBF-4675-8EE5-5BA9304E69C5}"/>
            </c:ext>
          </c:extLst>
        </c:ser>
        <c:dLbls>
          <c:dLblPos val="outEnd"/>
          <c:showLegendKey val="0"/>
          <c:showVal val="1"/>
          <c:showCatName val="0"/>
          <c:showSerName val="0"/>
          <c:showPercent val="0"/>
          <c:showBubbleSize val="0"/>
        </c:dLbls>
        <c:gapWidth val="164"/>
        <c:overlap val="-22"/>
        <c:axId val="332717040"/>
        <c:axId val="332714640"/>
        <c:extLst>
          <c:ext xmlns:c15="http://schemas.microsoft.com/office/drawing/2012/chart" uri="{02D57815-91ED-43cb-92C2-25804820EDAC}">
            <c15:filteredBarSeries>
              <c15:ser>
                <c:idx val="5"/>
                <c:order val="5"/>
                <c:tx>
                  <c:strRef>
                    <c:extLst>
                      <c:ext uri="{02D57815-91ED-43cb-92C2-25804820EDAC}">
                        <c15:formulaRef>
                          <c15:sqref>Charts!$B$90</c15:sqref>
                        </c15:formulaRef>
                      </c:ext>
                    </c:extLst>
                    <c:strCache>
                      <c:ptCount val="1"/>
                      <c:pt idx="0">
                        <c:v>Total Oral, Personal and Home Care</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ormulaRef>
                          <c15:sqref>Charts!$G$90</c15:sqref>
                        </c15:formulaRef>
                      </c:ext>
                    </c:extLst>
                    <c:numCache>
                      <c:formatCode>0.0%</c:formatCode>
                      <c:ptCount val="1"/>
                      <c:pt idx="0">
                        <c:v>0.26174926367012419</c:v>
                      </c:pt>
                    </c:numCache>
                  </c:numRef>
                </c:val>
                <c:extLst>
                  <c:ext xmlns:c16="http://schemas.microsoft.com/office/drawing/2014/chart" uri="{C3380CC4-5D6E-409C-BE32-E72D297353CC}">
                    <c16:uniqueId val="{00000005-0CBF-4675-8EE5-5BA9304E69C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Charts!$B$91</c15:sqref>
                        </c15:formulaRef>
                      </c:ext>
                    </c:extLst>
                    <c:strCache>
                      <c:ptCount val="1"/>
                    </c:strCache>
                  </c:strRef>
                </c:tx>
                <c:spPr>
                  <a:pattFill prst="narHorz">
                    <a:fgClr>
                      <a:schemeClr val="accent1">
                        <a:lumMod val="60000"/>
                      </a:schemeClr>
                    </a:fgClr>
                    <a:bgClr>
                      <a:schemeClr val="accent1">
                        <a:lumMod val="60000"/>
                        <a:lumMod val="20000"/>
                        <a:lumOff val="80000"/>
                      </a:schemeClr>
                    </a:bgClr>
                  </a:pattFill>
                  <a:ln>
                    <a:noFill/>
                  </a:ln>
                  <a:effectLst>
                    <a:innerShdw blurRad="114300">
                      <a:schemeClr val="accent1">
                        <a:lumMod val="60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Charts!$G$91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6-0CBF-4675-8EE5-5BA9304E69C5}"/>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Charts!$B$92</c15:sqref>
                        </c15:formulaRef>
                      </c:ext>
                    </c:extLst>
                    <c:strCache>
                      <c:ptCount val="1"/>
                      <c:pt idx="0">
                        <c:v>Pet Nutrition</c:v>
                      </c:pt>
                    </c:strCache>
                  </c:strRef>
                </c:tx>
                <c:spPr>
                  <a:pattFill prst="narHorz">
                    <a:fgClr>
                      <a:schemeClr val="accent2">
                        <a:lumMod val="60000"/>
                      </a:schemeClr>
                    </a:fgClr>
                    <a:bgClr>
                      <a:schemeClr val="accent2">
                        <a:lumMod val="60000"/>
                        <a:lumMod val="20000"/>
                        <a:lumOff val="80000"/>
                      </a:schemeClr>
                    </a:bgClr>
                  </a:pattFill>
                  <a:ln>
                    <a:noFill/>
                  </a:ln>
                  <a:effectLst>
                    <a:innerShdw blurRad="114300">
                      <a:schemeClr val="accent2">
                        <a:lumMod val="60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extLst xmlns:c15="http://schemas.microsoft.com/office/drawing/2012/chart">
                      <c:ext xmlns:c15="http://schemas.microsoft.com/office/drawing/2012/chart" uri="{02D57815-91ED-43cb-92C2-25804820EDAC}">
                        <c15:formulaRef>
                          <c15:sqref>Charts!$G$92</c15:sqref>
                        </c15:formulaRef>
                      </c:ext>
                    </c:extLst>
                    <c:numCache>
                      <c:formatCode>0.0%</c:formatCode>
                      <c:ptCount val="1"/>
                      <c:pt idx="0">
                        <c:v>0.21525763997323222</c:v>
                      </c:pt>
                    </c:numCache>
                  </c:numRef>
                </c:val>
                <c:extLst xmlns:c15="http://schemas.microsoft.com/office/drawing/2012/chart">
                  <c:ext xmlns:c16="http://schemas.microsoft.com/office/drawing/2014/chart" uri="{C3380CC4-5D6E-409C-BE32-E72D297353CC}">
                    <c16:uniqueId val="{00000007-0CBF-4675-8EE5-5BA9304E69C5}"/>
                  </c:ext>
                </c:extLst>
              </c15:ser>
            </c15:filteredBarSeries>
          </c:ext>
        </c:extLst>
      </c:barChart>
      <c:catAx>
        <c:axId val="33271704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714640"/>
        <c:crosses val="autoZero"/>
        <c:auto val="1"/>
        <c:lblAlgn val="ctr"/>
        <c:lblOffset val="100"/>
        <c:noMultiLvlLbl val="0"/>
      </c:catAx>
      <c:valAx>
        <c:axId val="332714640"/>
        <c:scaling>
          <c:orientation val="minMax"/>
          <c:max val="0.35000000000000003"/>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71704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355457177295"/>
          <c:y val="0.11797405765069727"/>
          <c:w val="0.86199092066281413"/>
          <c:h val="0.75615133855436001"/>
        </c:manualLayout>
      </c:layout>
      <c:barChart>
        <c:barDir val="col"/>
        <c:grouping val="clustered"/>
        <c:varyColors val="0"/>
        <c:ser>
          <c:idx val="5"/>
          <c:order val="5"/>
          <c:tx>
            <c:strRef>
              <c:f>Charts!$B$90</c:f>
              <c:strCache>
                <c:ptCount val="1"/>
                <c:pt idx="0">
                  <c:v>Total Oral, Personal and Home Care</c:v>
                </c:pt>
              </c:strCache>
            </c:strRef>
          </c:tx>
          <c:spPr>
            <a:noFill/>
            <a:ln>
              <a:noFill/>
            </a:ln>
            <a:effectLst/>
          </c:spPr>
          <c:invertIfNegative val="0"/>
          <c:dLbls>
            <c:delete val="1"/>
          </c:dLbls>
          <c:val>
            <c:numRef>
              <c:f>Charts!$G$90</c:f>
              <c:numCache>
                <c:formatCode>0.0%</c:formatCode>
                <c:ptCount val="1"/>
                <c:pt idx="0">
                  <c:v>0.26174926367012419</c:v>
                </c:pt>
              </c:numCache>
            </c:numRef>
          </c:val>
          <c:extLst>
            <c:ext xmlns:c16="http://schemas.microsoft.com/office/drawing/2014/chart" uri="{C3380CC4-5D6E-409C-BE32-E72D297353CC}">
              <c16:uniqueId val="{00000000-388C-4E29-B631-75FDB65276D7}"/>
            </c:ext>
          </c:extLst>
        </c:ser>
        <c:dLbls>
          <c:dLblPos val="outEnd"/>
          <c:showLegendKey val="0"/>
          <c:showVal val="1"/>
          <c:showCatName val="0"/>
          <c:showSerName val="0"/>
          <c:showPercent val="0"/>
          <c:showBubbleSize val="0"/>
        </c:dLbls>
        <c:gapWidth val="191"/>
        <c:overlap val="-5"/>
        <c:axId val="332717040"/>
        <c:axId val="332714640"/>
        <c:extLst>
          <c:ext xmlns:c15="http://schemas.microsoft.com/office/drawing/2012/chart" uri="{02D57815-91ED-43cb-92C2-25804820EDAC}">
            <c15:filteredBarSeries>
              <c15:ser>
                <c:idx val="1"/>
                <c:order val="0"/>
                <c:tx>
                  <c:strRef>
                    <c:extLst>
                      <c:ext uri="{02D57815-91ED-43cb-92C2-25804820EDAC}">
                        <c15:formulaRef>
                          <c15:sqref>Charts!$B$86</c15:sqref>
                        </c15:formulaRef>
                      </c:ext>
                    </c:extLst>
                    <c:strCache>
                      <c:ptCount val="1"/>
                      <c:pt idx="0">
                        <c:v>Latin America</c:v>
                      </c:pt>
                    </c:strCache>
                  </c:strRef>
                </c:tx>
                <c:spPr>
                  <a:solidFill>
                    <a:schemeClr val="accent2"/>
                  </a:solidFill>
                  <a:ln>
                    <a:noFill/>
                  </a:ln>
                  <a:effectLst/>
                </c:spPr>
                <c:invertIfNegative val="0"/>
                <c:dLbls>
                  <c:delete val="1"/>
                </c:dLbls>
                <c:val>
                  <c:numRef>
                    <c:extLst>
                      <c:ext uri="{02D57815-91ED-43cb-92C2-25804820EDAC}">
                        <c15:formulaRef>
                          <c15:sqref>Charts!$G$86</c15:sqref>
                        </c15:formulaRef>
                      </c:ext>
                    </c:extLst>
                    <c:numCache>
                      <c:formatCode>0.0%</c:formatCode>
                      <c:ptCount val="1"/>
                      <c:pt idx="0">
                        <c:v>0.31911334169803429</c:v>
                      </c:pt>
                    </c:numCache>
                  </c:numRef>
                </c:val>
                <c:extLst>
                  <c:ext xmlns:c16="http://schemas.microsoft.com/office/drawing/2014/chart" uri="{C3380CC4-5D6E-409C-BE32-E72D297353CC}">
                    <c16:uniqueId val="{00000001-388C-4E29-B631-75FDB65276D7}"/>
                  </c:ext>
                </c:extLst>
              </c15:ser>
            </c15:filteredBarSeries>
            <c15:filteredBarSeries>
              <c15:ser>
                <c:idx val="2"/>
                <c:order val="1"/>
                <c:tx>
                  <c:strRef>
                    <c:extLst xmlns:c15="http://schemas.microsoft.com/office/drawing/2012/chart">
                      <c:ext xmlns:c15="http://schemas.microsoft.com/office/drawing/2012/chart" uri="{02D57815-91ED-43cb-92C2-25804820EDAC}">
                        <c15:formulaRef>
                          <c15:sqref>Charts!$B$87</c15:sqref>
                        </c15:formulaRef>
                      </c:ext>
                    </c:extLst>
                    <c:strCache>
                      <c:ptCount val="1"/>
                      <c:pt idx="0">
                        <c:v>Europe</c:v>
                      </c:pt>
                    </c:strCache>
                  </c:strRef>
                </c:tx>
                <c:spPr>
                  <a:solidFill>
                    <a:schemeClr val="accent3"/>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Charts!$G$87</c15:sqref>
                        </c15:formulaRef>
                      </c:ext>
                    </c:extLst>
                    <c:numCache>
                      <c:formatCode>0.0%</c:formatCode>
                      <c:ptCount val="1"/>
                      <c:pt idx="0">
                        <c:v>0.2375451263537906</c:v>
                      </c:pt>
                    </c:numCache>
                  </c:numRef>
                </c:val>
                <c:extLst xmlns:c15="http://schemas.microsoft.com/office/drawing/2012/chart">
                  <c:ext xmlns:c16="http://schemas.microsoft.com/office/drawing/2014/chart" uri="{C3380CC4-5D6E-409C-BE32-E72D297353CC}">
                    <c16:uniqueId val="{00000002-388C-4E29-B631-75FDB65276D7}"/>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Charts!$B$85</c15:sqref>
                        </c15:formulaRef>
                      </c:ext>
                    </c:extLst>
                    <c:strCache>
                      <c:ptCount val="1"/>
                      <c:pt idx="0">
                        <c:v>North America</c:v>
                      </c:pt>
                    </c:strCache>
                  </c:strRef>
                </c:tx>
                <c:spPr>
                  <a:solidFill>
                    <a:schemeClr val="accent1"/>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Charts!$G$85</c15:sqref>
                        </c15:formulaRef>
                      </c:ext>
                    </c:extLst>
                    <c:numCache>
                      <c:formatCode>0.0%</c:formatCode>
                      <c:ptCount val="1"/>
                      <c:pt idx="0">
                        <c:v>0.20398735716022368</c:v>
                      </c:pt>
                    </c:numCache>
                  </c:numRef>
                </c:val>
                <c:extLst xmlns:c15="http://schemas.microsoft.com/office/drawing/2012/chart">
                  <c:ext xmlns:c16="http://schemas.microsoft.com/office/drawing/2014/chart" uri="{C3380CC4-5D6E-409C-BE32-E72D297353CC}">
                    <c16:uniqueId val="{00000003-388C-4E29-B631-75FDB65276D7}"/>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Charts!$B$88</c15:sqref>
                        </c15:formulaRef>
                      </c:ext>
                    </c:extLst>
                    <c:strCache>
                      <c:ptCount val="1"/>
                      <c:pt idx="0">
                        <c:v>Asia Pacific</c:v>
                      </c:pt>
                    </c:strCache>
                  </c:strRef>
                </c:tx>
                <c:spPr>
                  <a:solidFill>
                    <a:schemeClr val="accent4"/>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Charts!$G$88</c15:sqref>
                        </c15:formulaRef>
                      </c:ext>
                    </c:extLst>
                    <c:numCache>
                      <c:formatCode>0.0%</c:formatCode>
                      <c:ptCount val="1"/>
                      <c:pt idx="0">
                        <c:v>0.28411476557032889</c:v>
                      </c:pt>
                    </c:numCache>
                  </c:numRef>
                </c:val>
                <c:extLst xmlns:c15="http://schemas.microsoft.com/office/drawing/2012/chart">
                  <c:ext xmlns:c16="http://schemas.microsoft.com/office/drawing/2014/chart" uri="{C3380CC4-5D6E-409C-BE32-E72D297353CC}">
                    <c16:uniqueId val="{00000004-388C-4E29-B631-75FDB65276D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Charts!$B$89</c15:sqref>
                        </c15:formulaRef>
                      </c:ext>
                    </c:extLst>
                    <c:strCache>
                      <c:ptCount val="1"/>
                      <c:pt idx="0">
                        <c:v>Africa/Eurasia</c:v>
                      </c:pt>
                    </c:strCache>
                  </c:strRef>
                </c:tx>
                <c:spPr>
                  <a:solidFill>
                    <a:schemeClr val="accent5"/>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Charts!$G$89</c15:sqref>
                        </c15:formulaRef>
                      </c:ext>
                    </c:extLst>
                    <c:numCache>
                      <c:formatCode>0.0%</c:formatCode>
                      <c:ptCount val="1"/>
                      <c:pt idx="0">
                        <c:v>0.23105022831050229</c:v>
                      </c:pt>
                    </c:numCache>
                  </c:numRef>
                </c:val>
                <c:extLst xmlns:c15="http://schemas.microsoft.com/office/drawing/2012/chart">
                  <c:ext xmlns:c16="http://schemas.microsoft.com/office/drawing/2014/chart" uri="{C3380CC4-5D6E-409C-BE32-E72D297353CC}">
                    <c16:uniqueId val="{00000005-388C-4E29-B631-75FDB65276D7}"/>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Charts!$B$91</c15:sqref>
                        </c15:formulaRef>
                      </c:ext>
                    </c:extLst>
                    <c:strCache>
                      <c:ptCount val="1"/>
                    </c:strCache>
                  </c:strRef>
                </c:tx>
                <c:spPr>
                  <a:solidFill>
                    <a:schemeClr val="accent1">
                      <a:lumMod val="60000"/>
                    </a:schemeClr>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Charts!$G$91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6-388C-4E29-B631-75FDB65276D7}"/>
                  </c:ext>
                </c:extLst>
              </c15:ser>
            </c15:filteredBarSeries>
          </c:ext>
        </c:extLst>
      </c:barChart>
      <c:catAx>
        <c:axId val="332717040"/>
        <c:scaling>
          <c:orientation val="minMax"/>
        </c:scaling>
        <c:delete val="1"/>
        <c:axPos val="b"/>
        <c:numFmt formatCode="General" sourceLinked="1"/>
        <c:majorTickMark val="none"/>
        <c:minorTickMark val="none"/>
        <c:tickLblPos val="nextTo"/>
        <c:crossAx val="332714640"/>
        <c:crossesAt val="0"/>
        <c:auto val="1"/>
        <c:lblAlgn val="ctr"/>
        <c:lblOffset val="100"/>
        <c:noMultiLvlLbl val="0"/>
      </c:catAx>
      <c:valAx>
        <c:axId val="332714640"/>
        <c:scaling>
          <c:orientation val="minMax"/>
          <c:max val="0.35000000000000003"/>
        </c:scaling>
        <c:delete val="1"/>
        <c:axPos val="l"/>
        <c:numFmt formatCode="0.0%" sourceLinked="1"/>
        <c:majorTickMark val="none"/>
        <c:minorTickMark val="none"/>
        <c:tickLblPos val="nextTo"/>
        <c:crossAx val="332717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b="1">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a:t>Revenue Split Between Operating Segments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Charts!$B$18</c:f>
              <c:strCache>
                <c:ptCount val="1"/>
                <c:pt idx="0">
                  <c:v>Total Oral, Personal and Home Care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Charts!$C$10:$G$10</c:f>
              <c:numCache>
                <c:formatCode>General"A"</c:formatCode>
                <c:ptCount val="5"/>
                <c:pt idx="0">
                  <c:v>2020</c:v>
                </c:pt>
                <c:pt idx="1">
                  <c:v>2021</c:v>
                </c:pt>
                <c:pt idx="2">
                  <c:v>2022</c:v>
                </c:pt>
                <c:pt idx="3">
                  <c:v>2023</c:v>
                </c:pt>
                <c:pt idx="4">
                  <c:v>2024</c:v>
                </c:pt>
              </c:numCache>
            </c:numRef>
          </c:cat>
          <c:val>
            <c:numRef>
              <c:f>Charts!$O$18:$S$18</c:f>
              <c:numCache>
                <c:formatCode>0%</c:formatCode>
                <c:ptCount val="5"/>
                <c:pt idx="0">
                  <c:v>0.82496509015846031</c:v>
                </c:pt>
                <c:pt idx="1">
                  <c:v>0.80994202399403015</c:v>
                </c:pt>
                <c:pt idx="2">
                  <c:v>0.79334335170033954</c:v>
                </c:pt>
                <c:pt idx="3">
                  <c:v>0.77951379966079049</c:v>
                </c:pt>
                <c:pt idx="4">
                  <c:v>0.77697626983732149</c:v>
                </c:pt>
              </c:numCache>
            </c:numRef>
          </c:val>
          <c:extLst>
            <c:ext xmlns:c16="http://schemas.microsoft.com/office/drawing/2014/chart" uri="{C3380CC4-5D6E-409C-BE32-E72D297353CC}">
              <c16:uniqueId val="{00000000-4818-4048-B2FB-7E5D3E823551}"/>
            </c:ext>
          </c:extLst>
        </c:ser>
        <c:ser>
          <c:idx val="1"/>
          <c:order val="1"/>
          <c:tx>
            <c:strRef>
              <c:f>Charts!$B$19</c:f>
              <c:strCache>
                <c:ptCount val="1"/>
                <c:pt idx="0">
                  <c:v>Pet Nutrition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Charts!$C$10:$G$10</c:f>
              <c:numCache>
                <c:formatCode>General"A"</c:formatCode>
                <c:ptCount val="5"/>
                <c:pt idx="0">
                  <c:v>2020</c:v>
                </c:pt>
                <c:pt idx="1">
                  <c:v>2021</c:v>
                </c:pt>
                <c:pt idx="2">
                  <c:v>2022</c:v>
                </c:pt>
                <c:pt idx="3">
                  <c:v>2023</c:v>
                </c:pt>
                <c:pt idx="4">
                  <c:v>2024</c:v>
                </c:pt>
              </c:numCache>
            </c:numRef>
          </c:cat>
          <c:val>
            <c:numRef>
              <c:f>Charts!$O$19:$S$19</c:f>
              <c:numCache>
                <c:formatCode>0%</c:formatCode>
                <c:ptCount val="5"/>
                <c:pt idx="0">
                  <c:v>0.17503490984153969</c:v>
                </c:pt>
                <c:pt idx="1">
                  <c:v>0.1900579760059698</c:v>
                </c:pt>
                <c:pt idx="2">
                  <c:v>0.20665664829966049</c:v>
                </c:pt>
                <c:pt idx="3">
                  <c:v>0.22048620033920954</c:v>
                </c:pt>
                <c:pt idx="4">
                  <c:v>0.22302373016267849</c:v>
                </c:pt>
              </c:numCache>
            </c:numRef>
          </c:val>
          <c:extLst>
            <c:ext xmlns:c16="http://schemas.microsoft.com/office/drawing/2014/chart" uri="{C3380CC4-5D6E-409C-BE32-E72D297353CC}">
              <c16:uniqueId val="{00000001-4818-4048-B2FB-7E5D3E823551}"/>
            </c:ext>
          </c:extLst>
        </c:ser>
        <c:dLbls>
          <c:showLegendKey val="0"/>
          <c:showVal val="0"/>
          <c:showCatName val="0"/>
          <c:showSerName val="0"/>
          <c:showPercent val="0"/>
          <c:showBubbleSize val="0"/>
        </c:dLbls>
        <c:gapWidth val="150"/>
        <c:overlap val="100"/>
        <c:axId val="1134581487"/>
        <c:axId val="1134580527"/>
      </c:barChart>
      <c:catAx>
        <c:axId val="1134581487"/>
        <c:scaling>
          <c:orientation val="minMax"/>
        </c:scaling>
        <c:delete val="0"/>
        <c:axPos val="l"/>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580527"/>
        <c:crosses val="autoZero"/>
        <c:auto val="1"/>
        <c:lblAlgn val="ctr"/>
        <c:lblOffset val="100"/>
        <c:noMultiLvlLbl val="0"/>
      </c:catAx>
      <c:valAx>
        <c:axId val="1134580527"/>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581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355457177295"/>
          <c:y val="0.11797405765069727"/>
          <c:w val="0.86199092066281413"/>
          <c:h val="0.75615133855436001"/>
        </c:manualLayout>
      </c:layout>
      <c:barChart>
        <c:barDir val="col"/>
        <c:grouping val="clustered"/>
        <c:varyColors val="0"/>
        <c:ser>
          <c:idx val="5"/>
          <c:order val="5"/>
          <c:tx>
            <c:strRef>
              <c:f>[1]Charts!$B$90</c:f>
              <c:strCache>
                <c:ptCount val="1"/>
                <c:pt idx="0">
                  <c:v>Total Oral, Personal and Home Care</c:v>
                </c:pt>
              </c:strCache>
            </c:strRef>
          </c:tx>
          <c:spPr>
            <a:noFill/>
            <a:ln>
              <a:noFill/>
            </a:ln>
            <a:effectLst/>
          </c:spPr>
          <c:invertIfNegative val="0"/>
          <c:dLbls>
            <c:delete val="1"/>
          </c:dLbls>
          <c:val>
            <c:numRef>
              <c:f>[1]Charts!$G$90</c:f>
              <c:numCache>
                <c:formatCode>General</c:formatCode>
                <c:ptCount val="1"/>
                <c:pt idx="0">
                  <c:v>0.2559504186721171</c:v>
                </c:pt>
              </c:numCache>
            </c:numRef>
          </c:val>
          <c:extLst>
            <c:ext xmlns:c16="http://schemas.microsoft.com/office/drawing/2014/chart" uri="{C3380CC4-5D6E-409C-BE32-E72D297353CC}">
              <c16:uniqueId val="{00000000-4C03-401C-84D0-F9F87CDF726A}"/>
            </c:ext>
          </c:extLst>
        </c:ser>
        <c:dLbls>
          <c:dLblPos val="outEnd"/>
          <c:showLegendKey val="0"/>
          <c:showVal val="1"/>
          <c:showCatName val="0"/>
          <c:showSerName val="0"/>
          <c:showPercent val="0"/>
          <c:showBubbleSize val="0"/>
        </c:dLbls>
        <c:gapWidth val="191"/>
        <c:overlap val="-5"/>
        <c:axId val="332717040"/>
        <c:axId val="332714640"/>
        <c:extLst>
          <c:ext xmlns:c15="http://schemas.microsoft.com/office/drawing/2012/chart" uri="{02D57815-91ED-43cb-92C2-25804820EDAC}">
            <c15:filteredBarSeries>
              <c15:ser>
                <c:idx val="1"/>
                <c:order val="0"/>
                <c:tx>
                  <c:strRef>
                    <c:extLst>
                      <c:ext uri="{02D57815-91ED-43cb-92C2-25804820EDAC}">
                        <c15:formulaRef>
                          <c15:sqref>[1]Charts!$B$86</c15:sqref>
                        </c15:formulaRef>
                      </c:ext>
                    </c:extLst>
                    <c:strCache>
                      <c:ptCount val="1"/>
                      <c:pt idx="0">
                        <c:v>Latin America</c:v>
                      </c:pt>
                    </c:strCache>
                  </c:strRef>
                </c:tx>
                <c:spPr>
                  <a:solidFill>
                    <a:schemeClr val="accent2"/>
                  </a:solidFill>
                  <a:ln>
                    <a:noFill/>
                  </a:ln>
                  <a:effectLst/>
                </c:spPr>
                <c:invertIfNegative val="0"/>
                <c:dLbls>
                  <c:delete val="1"/>
                </c:dLbls>
                <c:val>
                  <c:numRef>
                    <c:extLst>
                      <c:ext uri="{02D57815-91ED-43cb-92C2-25804820EDAC}">
                        <c15:formulaRef>
                          <c15:sqref>[1]Charts!$G$86</c15:sqref>
                        </c15:formulaRef>
                      </c:ext>
                    </c:extLst>
                    <c:numCache>
                      <c:formatCode>General</c:formatCode>
                      <c:ptCount val="1"/>
                      <c:pt idx="0">
                        <c:v>0.30538793103448275</c:v>
                      </c:pt>
                    </c:numCache>
                  </c:numRef>
                </c:val>
                <c:extLst>
                  <c:ext xmlns:c16="http://schemas.microsoft.com/office/drawing/2014/chart" uri="{C3380CC4-5D6E-409C-BE32-E72D297353CC}">
                    <c16:uniqueId val="{00000001-4C03-401C-84D0-F9F87CDF726A}"/>
                  </c:ext>
                </c:extLst>
              </c15:ser>
            </c15:filteredBarSeries>
            <c15:filteredBarSeries>
              <c15:ser>
                <c:idx val="2"/>
                <c:order val="1"/>
                <c:tx>
                  <c:strRef>
                    <c:extLst xmlns:c15="http://schemas.microsoft.com/office/drawing/2012/chart">
                      <c:ext xmlns:c15="http://schemas.microsoft.com/office/drawing/2012/chart" uri="{02D57815-91ED-43cb-92C2-25804820EDAC}">
                        <c15:formulaRef>
                          <c15:sqref>[1]Charts!$B$87</c15:sqref>
                        </c15:formulaRef>
                      </c:ext>
                    </c:extLst>
                    <c:strCache>
                      <c:ptCount val="1"/>
                      <c:pt idx="0">
                        <c:v>Europe</c:v>
                      </c:pt>
                    </c:strCache>
                  </c:strRef>
                </c:tx>
                <c:spPr>
                  <a:solidFill>
                    <a:schemeClr val="accent3"/>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[1]Charts!$G$87</c15:sqref>
                        </c15:formulaRef>
                      </c:ext>
                    </c:extLst>
                    <c:numCache>
                      <c:formatCode>General</c:formatCode>
                      <c:ptCount val="1"/>
                      <c:pt idx="0">
                        <c:v>0.20168067226890757</c:v>
                      </c:pt>
                    </c:numCache>
                  </c:numRef>
                </c:val>
                <c:extLst xmlns:c15="http://schemas.microsoft.com/office/drawing/2012/chart">
                  <c:ext xmlns:c16="http://schemas.microsoft.com/office/drawing/2014/chart" uri="{C3380CC4-5D6E-409C-BE32-E72D297353CC}">
                    <c16:uniqueId val="{00000002-4C03-401C-84D0-F9F87CDF726A}"/>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[1]Charts!$B$85</c15:sqref>
                        </c15:formulaRef>
                      </c:ext>
                    </c:extLst>
                    <c:strCache>
                      <c:ptCount val="1"/>
                      <c:pt idx="0">
                        <c:v>North America</c:v>
                      </c:pt>
                    </c:strCache>
                  </c:strRef>
                </c:tx>
                <c:spPr>
                  <a:solidFill>
                    <a:schemeClr val="accent1"/>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[1]Charts!$G$85</c15:sqref>
                        </c15:formulaRef>
                      </c:ext>
                    </c:extLst>
                    <c:numCache>
                      <c:formatCode>General</c:formatCode>
                      <c:ptCount val="1"/>
                      <c:pt idx="0">
                        <c:v>0.22726114649681528</c:v>
                      </c:pt>
                    </c:numCache>
                  </c:numRef>
                </c:val>
                <c:extLst xmlns:c15="http://schemas.microsoft.com/office/drawing/2012/chart">
                  <c:ext xmlns:c16="http://schemas.microsoft.com/office/drawing/2014/chart" uri="{C3380CC4-5D6E-409C-BE32-E72D297353CC}">
                    <c16:uniqueId val="{00000003-4C03-401C-84D0-F9F87CDF726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[1]Charts!$B$88</c15:sqref>
                        </c15:formulaRef>
                      </c:ext>
                    </c:extLst>
                    <c:strCache>
                      <c:ptCount val="1"/>
                      <c:pt idx="0">
                        <c:v>Asia Pacific</c:v>
                      </c:pt>
                    </c:strCache>
                  </c:strRef>
                </c:tx>
                <c:spPr>
                  <a:solidFill>
                    <a:schemeClr val="accent4"/>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[1]Charts!$G$88</c15:sqref>
                        </c15:formulaRef>
                      </c:ext>
                    </c:extLst>
                    <c:numCache>
                      <c:formatCode>General</c:formatCode>
                      <c:ptCount val="1"/>
                      <c:pt idx="0">
                        <c:v>0.27570093457943923</c:v>
                      </c:pt>
                    </c:numCache>
                  </c:numRef>
                </c:val>
                <c:extLst xmlns:c15="http://schemas.microsoft.com/office/drawing/2012/chart">
                  <c:ext xmlns:c16="http://schemas.microsoft.com/office/drawing/2014/chart" uri="{C3380CC4-5D6E-409C-BE32-E72D297353CC}">
                    <c16:uniqueId val="{00000004-4C03-401C-84D0-F9F87CDF726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[1]Charts!$B$89</c15:sqref>
                        </c15:formulaRef>
                      </c:ext>
                    </c:extLst>
                    <c:strCache>
                      <c:ptCount val="1"/>
                      <c:pt idx="0">
                        <c:v>Africa/Eurasia</c:v>
                      </c:pt>
                    </c:strCache>
                  </c:strRef>
                </c:tx>
                <c:spPr>
                  <a:solidFill>
                    <a:schemeClr val="accent5"/>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[1]Charts!$G$89</c15:sqref>
                        </c15:formulaRef>
                      </c:ext>
                    </c:extLst>
                    <c:numCache>
                      <c:formatCode>General</c:formatCode>
                      <c:ptCount val="1"/>
                      <c:pt idx="0">
                        <c:v>0.23453370267774701</c:v>
                      </c:pt>
                    </c:numCache>
                  </c:numRef>
                </c:val>
                <c:extLst xmlns:c15="http://schemas.microsoft.com/office/drawing/2012/chart">
                  <c:ext xmlns:c16="http://schemas.microsoft.com/office/drawing/2014/chart" uri="{C3380CC4-5D6E-409C-BE32-E72D297353CC}">
                    <c16:uniqueId val="{00000005-4C03-401C-84D0-F9F87CDF726A}"/>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[1]Charts!$B$91</c15:sqref>
                        </c15:formulaRef>
                      </c:ext>
                    </c:extLst>
                    <c:strCache>
                      <c:ptCount val="1"/>
                    </c:strCache>
                  </c:strRef>
                </c:tx>
                <c:spPr>
                  <a:solidFill>
                    <a:schemeClr val="accent1">
                      <a:lumMod val="60000"/>
                    </a:schemeClr>
                  </a:solidFill>
                  <a:ln>
                    <a:noFill/>
                  </a:ln>
                  <a:effectLst/>
                </c:spPr>
                <c:invertIfNegative val="0"/>
                <c:dLbls>
                  <c:delete val="1"/>
                </c:dLbls>
                <c:val>
                  <c:numRef>
                    <c:extLst xmlns:c15="http://schemas.microsoft.com/office/drawing/2012/chart">
                      <c:ext xmlns:c15="http://schemas.microsoft.com/office/drawing/2012/chart" uri="{02D57815-91ED-43cb-92C2-25804820EDAC}">
                        <c15:formulaRef>
                          <c15:sqref>[1]Charts!$G$91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6-4C03-401C-84D0-F9F87CDF726A}"/>
                  </c:ext>
                </c:extLst>
              </c15:ser>
            </c15:filteredBarSeries>
          </c:ext>
        </c:extLst>
      </c:barChart>
      <c:catAx>
        <c:axId val="332717040"/>
        <c:scaling>
          <c:orientation val="minMax"/>
        </c:scaling>
        <c:delete val="1"/>
        <c:axPos val="b"/>
        <c:numFmt formatCode="General" sourceLinked="1"/>
        <c:majorTickMark val="none"/>
        <c:minorTickMark val="none"/>
        <c:tickLblPos val="nextTo"/>
        <c:crossAx val="332714640"/>
        <c:crossesAt val="0"/>
        <c:auto val="1"/>
        <c:lblAlgn val="ctr"/>
        <c:lblOffset val="100"/>
        <c:noMultiLvlLbl val="0"/>
      </c:catAx>
      <c:valAx>
        <c:axId val="332714640"/>
        <c:scaling>
          <c:orientation val="minMax"/>
          <c:max val="0.35000000000000003"/>
        </c:scaling>
        <c:delete val="1"/>
        <c:axPos val="l"/>
        <c:numFmt formatCode="General" sourceLinked="1"/>
        <c:majorTickMark val="none"/>
        <c:minorTickMark val="none"/>
        <c:tickLblPos val="nextTo"/>
        <c:crossAx val="332717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2021</a:t>
            </a:r>
          </a:p>
        </c:rich>
      </c:tx>
      <c:overlay val="0"/>
    </c:title>
    <c:autoTitleDeleted val="0"/>
    <c:plotArea>
      <c:layout>
        <c:manualLayout>
          <c:layoutTarget val="inner"/>
          <c:xMode val="edge"/>
          <c:yMode val="edge"/>
          <c:x val="1.8474591030050311E-2"/>
          <c:y val="0.157184093996541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1-D39F-4799-9B16-2B0340560A72}"/>
              </c:ext>
            </c:extLst>
          </c:dPt>
          <c:dPt>
            <c:idx val="1"/>
            <c:bubble3D val="0"/>
            <c:spPr>
              <a:solidFill>
                <a:srgbClr val="FF2D2D"/>
              </a:solidFill>
            </c:spPr>
            <c:extLst>
              <c:ext xmlns:c16="http://schemas.microsoft.com/office/drawing/2014/chart" uri="{C3380CC4-5D6E-409C-BE32-E72D297353CC}">
                <c16:uniqueId val="{00000003-D39F-4799-9B16-2B0340560A72}"/>
              </c:ext>
            </c:extLst>
          </c:dPt>
          <c:dPt>
            <c:idx val="2"/>
            <c:bubble3D val="0"/>
            <c:spPr>
              <a:solidFill>
                <a:srgbClr val="FF5D5D"/>
              </a:solidFill>
            </c:spPr>
            <c:extLst>
              <c:ext xmlns:c16="http://schemas.microsoft.com/office/drawing/2014/chart" uri="{C3380CC4-5D6E-409C-BE32-E72D297353CC}">
                <c16:uniqueId val="{00000005-D39F-4799-9B16-2B0340560A72}"/>
              </c:ext>
            </c:extLst>
          </c:dPt>
          <c:dPt>
            <c:idx val="3"/>
            <c:bubble3D val="0"/>
            <c:spPr>
              <a:solidFill>
                <a:srgbClr val="FF9797"/>
              </a:solidFill>
            </c:spPr>
            <c:extLst>
              <c:ext xmlns:c16="http://schemas.microsoft.com/office/drawing/2014/chart" uri="{C3380CC4-5D6E-409C-BE32-E72D297353CC}">
                <c16:uniqueId val="{00000007-D39F-4799-9B16-2B0340560A72}"/>
              </c:ext>
            </c:extLst>
          </c:dPt>
          <c:dPt>
            <c:idx val="4"/>
            <c:bubble3D val="0"/>
            <c:spPr>
              <a:solidFill>
                <a:srgbClr val="FFD5D5"/>
              </a:solidFill>
            </c:spPr>
            <c:extLst>
              <c:ext xmlns:c16="http://schemas.microsoft.com/office/drawing/2014/chart" uri="{C3380CC4-5D6E-409C-BE32-E72D297353CC}">
                <c16:uniqueId val="{00000009-D39F-4799-9B16-2B0340560A72}"/>
              </c:ext>
            </c:extLst>
          </c:dPt>
          <c:dPt>
            <c:idx val="5"/>
            <c:bubble3D val="0"/>
            <c:spPr>
              <a:noFill/>
            </c:spPr>
            <c:extLst>
              <c:ext xmlns:c16="http://schemas.microsoft.com/office/drawing/2014/chart" uri="{C3380CC4-5D6E-409C-BE32-E72D297353CC}">
                <c16:uniqueId val="{0000000B-D39F-4799-9B16-2B0340560A72}"/>
              </c:ext>
            </c:extLst>
          </c:dPt>
          <c:dPt>
            <c:idx val="6"/>
            <c:bubble3D val="0"/>
            <c:spPr>
              <a:noFill/>
            </c:spPr>
            <c:extLst>
              <c:ext xmlns:c16="http://schemas.microsoft.com/office/drawing/2014/chart" uri="{C3380CC4-5D6E-409C-BE32-E72D297353CC}">
                <c16:uniqueId val="{0000000D-D39F-4799-9B16-2B0340560A72}"/>
              </c:ext>
            </c:extLst>
          </c:dPt>
          <c:dLbls>
            <c:dLbl>
              <c:idx val="5"/>
              <c:delete val="1"/>
              <c:extLst>
                <c:ext xmlns:c15="http://schemas.microsoft.com/office/drawing/2012/chart" uri="{CE6537A1-D6FC-4f65-9D91-7224C49458BB}"/>
                <c:ext xmlns:c16="http://schemas.microsoft.com/office/drawing/2014/chart" uri="{C3380CC4-5D6E-409C-BE32-E72D297353CC}">
                  <c16:uniqueId val="{0000000B-D39F-4799-9B16-2B0340560A72}"/>
                </c:ext>
              </c:extLst>
            </c:dLbl>
            <c:dLbl>
              <c:idx val="6"/>
              <c:delete val="1"/>
              <c:extLst>
                <c:ext xmlns:c15="http://schemas.microsoft.com/office/drawing/2012/chart" uri="{CE6537A1-D6FC-4f65-9D91-7224C49458BB}"/>
                <c:ext xmlns:c16="http://schemas.microsoft.com/office/drawing/2014/chart" uri="{C3380CC4-5D6E-409C-BE32-E72D297353CC}">
                  <c16:uniqueId val="{0000000D-D39F-4799-9B16-2B0340560A72}"/>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Charts!$P$13:$P$19</c:f>
              <c:numCache>
                <c:formatCode>0%</c:formatCode>
                <c:ptCount val="7"/>
                <c:pt idx="0">
                  <c:v>0.21204293668560933</c:v>
                </c:pt>
                <c:pt idx="1">
                  <c:v>0.21026347511623902</c:v>
                </c:pt>
                <c:pt idx="2">
                  <c:v>0.16307904253487171</c:v>
                </c:pt>
                <c:pt idx="3">
                  <c:v>0.1645714941736984</c:v>
                </c:pt>
                <c:pt idx="4">
                  <c:v>5.9985075483611733E-2</c:v>
                </c:pt>
                <c:pt idx="5">
                  <c:v>0.80994202399403015</c:v>
                </c:pt>
                <c:pt idx="6">
                  <c:v>0.1900579760059698</c:v>
                </c:pt>
              </c:numCache>
            </c:numRef>
          </c:val>
          <c:extLst>
            <c:ext xmlns:c16="http://schemas.microsoft.com/office/drawing/2014/chart" uri="{C3380CC4-5D6E-409C-BE32-E72D297353CC}">
              <c16:uniqueId val="{0000000E-D39F-4799-9B16-2B0340560A72}"/>
            </c:ext>
          </c:extLst>
        </c:ser>
        <c:dLbls>
          <c:showLegendKey val="0"/>
          <c:showVal val="1"/>
          <c:showCatName val="0"/>
          <c:showSerName val="0"/>
          <c:showPercent val="0"/>
          <c:showBubbleSize val="0"/>
          <c:showLeaderLines val="1"/>
        </c:dLbls>
        <c:firstSliceAng val="0"/>
        <c:holeSize val="75"/>
      </c:doughnutChart>
    </c:plotArea>
    <c:legend>
      <c:legendPos val="l"/>
      <c:layout>
        <c:manualLayout>
          <c:xMode val="edge"/>
          <c:yMode val="edge"/>
          <c:x val="4.7058794467318532E-2"/>
          <c:y val="0.2010200543690249"/>
          <c:w val="0.51372517293489395"/>
          <c:h val="0.74493484833313661"/>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2022</a:t>
            </a:r>
          </a:p>
        </c:rich>
      </c:tx>
      <c:overlay val="0"/>
    </c:title>
    <c:autoTitleDeleted val="0"/>
    <c:plotArea>
      <c:layout>
        <c:manualLayout>
          <c:layoutTarget val="inner"/>
          <c:xMode val="edge"/>
          <c:yMode val="edge"/>
          <c:x val="2.6317703322396215E-2"/>
          <c:y val="0.182812908910035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3-518F-4850-88CF-D63838A14FAD}"/>
              </c:ext>
            </c:extLst>
          </c:dPt>
          <c:dPt>
            <c:idx val="1"/>
            <c:bubble3D val="0"/>
            <c:spPr>
              <a:solidFill>
                <a:srgbClr val="FF2D2D"/>
              </a:solidFill>
            </c:spPr>
            <c:extLst>
              <c:ext xmlns:c16="http://schemas.microsoft.com/office/drawing/2014/chart" uri="{C3380CC4-5D6E-409C-BE32-E72D297353CC}">
                <c16:uniqueId val="{00000004-518F-4850-88CF-D63838A14FAD}"/>
              </c:ext>
            </c:extLst>
          </c:dPt>
          <c:dPt>
            <c:idx val="2"/>
            <c:bubble3D val="0"/>
            <c:spPr>
              <a:solidFill>
                <a:srgbClr val="FF5D5D"/>
              </a:solidFill>
            </c:spPr>
            <c:extLst>
              <c:ext xmlns:c16="http://schemas.microsoft.com/office/drawing/2014/chart" uri="{C3380CC4-5D6E-409C-BE32-E72D297353CC}">
                <c16:uniqueId val="{00000005-518F-4850-88CF-D63838A14FAD}"/>
              </c:ext>
            </c:extLst>
          </c:dPt>
          <c:dPt>
            <c:idx val="3"/>
            <c:bubble3D val="0"/>
            <c:spPr>
              <a:solidFill>
                <a:srgbClr val="FF9797"/>
              </a:solidFill>
            </c:spPr>
            <c:extLst>
              <c:ext xmlns:c16="http://schemas.microsoft.com/office/drawing/2014/chart" uri="{C3380CC4-5D6E-409C-BE32-E72D297353CC}">
                <c16:uniqueId val="{00000006-518F-4850-88CF-D63838A14FAD}"/>
              </c:ext>
            </c:extLst>
          </c:dPt>
          <c:dPt>
            <c:idx val="4"/>
            <c:bubble3D val="0"/>
            <c:spPr>
              <a:solidFill>
                <a:srgbClr val="FFD5D5"/>
              </a:solidFill>
            </c:spPr>
            <c:extLst>
              <c:ext xmlns:c16="http://schemas.microsoft.com/office/drawing/2014/chart" uri="{C3380CC4-5D6E-409C-BE32-E72D297353CC}">
                <c16:uniqueId val="{00000007-518F-4850-88CF-D63838A14FAD}"/>
              </c:ext>
            </c:extLst>
          </c:dPt>
          <c:dPt>
            <c:idx val="5"/>
            <c:bubble3D val="0"/>
            <c:spPr>
              <a:noFill/>
            </c:spPr>
            <c:extLst>
              <c:ext xmlns:c16="http://schemas.microsoft.com/office/drawing/2014/chart" uri="{C3380CC4-5D6E-409C-BE32-E72D297353CC}">
                <c16:uniqueId val="{00000002-518F-4850-88CF-D63838A14FAD}"/>
              </c:ext>
            </c:extLst>
          </c:dPt>
          <c:dPt>
            <c:idx val="6"/>
            <c:bubble3D val="0"/>
            <c:spPr>
              <a:noFill/>
            </c:spPr>
            <c:extLst>
              <c:ext xmlns:c16="http://schemas.microsoft.com/office/drawing/2014/chart" uri="{C3380CC4-5D6E-409C-BE32-E72D297353CC}">
                <c16:uniqueId val="{00000001-518F-4850-88CF-D63838A14FAD}"/>
              </c:ext>
            </c:extLst>
          </c:dPt>
          <c:dLbls>
            <c:dLbl>
              <c:idx val="5"/>
              <c:delete val="1"/>
              <c:extLst>
                <c:ext xmlns:c15="http://schemas.microsoft.com/office/drawing/2012/chart" uri="{CE6537A1-D6FC-4f65-9D91-7224C49458BB}"/>
                <c:ext xmlns:c16="http://schemas.microsoft.com/office/drawing/2014/chart" uri="{C3380CC4-5D6E-409C-BE32-E72D297353CC}">
                  <c16:uniqueId val="{00000002-518F-4850-88CF-D63838A14FAD}"/>
                </c:ext>
              </c:extLst>
            </c:dLbl>
            <c:dLbl>
              <c:idx val="6"/>
              <c:delete val="1"/>
              <c:extLst>
                <c:ext xmlns:c15="http://schemas.microsoft.com/office/drawing/2012/chart" uri="{CE6537A1-D6FC-4f65-9D91-7224C49458BB}"/>
                <c:ext xmlns:c16="http://schemas.microsoft.com/office/drawing/2014/chart" uri="{C3380CC4-5D6E-409C-BE32-E72D297353CC}">
                  <c16:uniqueId val="{00000001-518F-4850-88CF-D63838A14FAD}"/>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Charts!$Q$13:$Q$19</c:f>
              <c:numCache>
                <c:formatCode>0%</c:formatCode>
                <c:ptCount val="7"/>
                <c:pt idx="0">
                  <c:v>0.21238938053097345</c:v>
                </c:pt>
                <c:pt idx="1">
                  <c:v>0.22162854121444872</c:v>
                </c:pt>
                <c:pt idx="2">
                  <c:v>0.14181555073189736</c:v>
                </c:pt>
                <c:pt idx="3">
                  <c:v>0.1572883619969945</c:v>
                </c:pt>
                <c:pt idx="4">
                  <c:v>6.0221517226025492E-2</c:v>
                </c:pt>
                <c:pt idx="5">
                  <c:v>0.79334335170033954</c:v>
                </c:pt>
                <c:pt idx="6">
                  <c:v>0.20665664829966049</c:v>
                </c:pt>
              </c:numCache>
            </c:numRef>
          </c:val>
          <c:extLst>
            <c:ext xmlns:c16="http://schemas.microsoft.com/office/drawing/2014/chart" uri="{C3380CC4-5D6E-409C-BE32-E72D297353CC}">
              <c16:uniqueId val="{00000000-518F-4850-88CF-D63838A14FAD}"/>
            </c:ext>
          </c:extLst>
        </c:ser>
        <c:dLbls>
          <c:showLegendKey val="0"/>
          <c:showVal val="1"/>
          <c:showCatName val="0"/>
          <c:showSerName val="0"/>
          <c:showPercent val="0"/>
          <c:showBubbleSize val="0"/>
          <c:showLeaderLines val="1"/>
        </c:dLbls>
        <c:firstSliceAng val="0"/>
        <c:holeSize val="75"/>
      </c:doughnutChart>
    </c:plotArea>
    <c:legend>
      <c:legendPos val="l"/>
      <c:layout>
        <c:manualLayout>
          <c:xMode val="edge"/>
          <c:yMode val="edge"/>
          <c:x val="4.7058794467318532E-2"/>
          <c:y val="0.2010200543690249"/>
          <c:w val="0.5921564970470915"/>
          <c:h val="0.74493484833313661"/>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2023</a:t>
            </a:r>
          </a:p>
        </c:rich>
      </c:tx>
      <c:overlay val="0"/>
    </c:title>
    <c:autoTitleDeleted val="0"/>
    <c:plotArea>
      <c:layout>
        <c:manualLayout>
          <c:layoutTarget val="inner"/>
          <c:xMode val="edge"/>
          <c:yMode val="edge"/>
          <c:x val="2.6317703322396215E-2"/>
          <c:y val="0.182812908910035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3-0CFA-41AC-8EAA-1787E1163761}"/>
              </c:ext>
            </c:extLst>
          </c:dPt>
          <c:dPt>
            <c:idx val="1"/>
            <c:bubble3D val="0"/>
            <c:spPr>
              <a:solidFill>
                <a:srgbClr val="FF2D2D"/>
              </a:solidFill>
            </c:spPr>
            <c:extLst>
              <c:ext xmlns:c16="http://schemas.microsoft.com/office/drawing/2014/chart" uri="{C3380CC4-5D6E-409C-BE32-E72D297353CC}">
                <c16:uniqueId val="{00000004-0CFA-41AC-8EAA-1787E1163761}"/>
              </c:ext>
            </c:extLst>
          </c:dPt>
          <c:dPt>
            <c:idx val="2"/>
            <c:bubble3D val="0"/>
            <c:spPr>
              <a:solidFill>
                <a:srgbClr val="FF5D5D"/>
              </a:solidFill>
            </c:spPr>
            <c:extLst>
              <c:ext xmlns:c16="http://schemas.microsoft.com/office/drawing/2014/chart" uri="{C3380CC4-5D6E-409C-BE32-E72D297353CC}">
                <c16:uniqueId val="{00000005-0CFA-41AC-8EAA-1787E1163761}"/>
              </c:ext>
            </c:extLst>
          </c:dPt>
          <c:dPt>
            <c:idx val="3"/>
            <c:bubble3D val="0"/>
            <c:spPr>
              <a:solidFill>
                <a:srgbClr val="FF9797"/>
              </a:solidFill>
            </c:spPr>
            <c:extLst>
              <c:ext xmlns:c16="http://schemas.microsoft.com/office/drawing/2014/chart" uri="{C3380CC4-5D6E-409C-BE32-E72D297353CC}">
                <c16:uniqueId val="{00000006-0CFA-41AC-8EAA-1787E1163761}"/>
              </c:ext>
            </c:extLst>
          </c:dPt>
          <c:dPt>
            <c:idx val="4"/>
            <c:bubble3D val="0"/>
            <c:spPr>
              <a:solidFill>
                <a:srgbClr val="FFD5D5"/>
              </a:solidFill>
            </c:spPr>
            <c:extLst>
              <c:ext xmlns:c16="http://schemas.microsoft.com/office/drawing/2014/chart" uri="{C3380CC4-5D6E-409C-BE32-E72D297353CC}">
                <c16:uniqueId val="{00000007-0CFA-41AC-8EAA-1787E1163761}"/>
              </c:ext>
            </c:extLst>
          </c:dPt>
          <c:dPt>
            <c:idx val="5"/>
            <c:bubble3D val="0"/>
            <c:spPr>
              <a:noFill/>
            </c:spPr>
            <c:extLst>
              <c:ext xmlns:c16="http://schemas.microsoft.com/office/drawing/2014/chart" uri="{C3380CC4-5D6E-409C-BE32-E72D297353CC}">
                <c16:uniqueId val="{00000002-0CFA-41AC-8EAA-1787E1163761}"/>
              </c:ext>
            </c:extLst>
          </c:dPt>
          <c:dPt>
            <c:idx val="6"/>
            <c:bubble3D val="0"/>
            <c:spPr>
              <a:noFill/>
            </c:spPr>
            <c:extLst>
              <c:ext xmlns:c16="http://schemas.microsoft.com/office/drawing/2014/chart" uri="{C3380CC4-5D6E-409C-BE32-E72D297353CC}">
                <c16:uniqueId val="{00000001-0CFA-41AC-8EAA-1787E1163761}"/>
              </c:ext>
            </c:extLst>
          </c:dPt>
          <c:dLbls>
            <c:dLbl>
              <c:idx val="5"/>
              <c:delete val="1"/>
              <c:extLst>
                <c:ext xmlns:c15="http://schemas.microsoft.com/office/drawing/2012/chart" uri="{CE6537A1-D6FC-4f65-9D91-7224C49458BB}"/>
                <c:ext xmlns:c16="http://schemas.microsoft.com/office/drawing/2014/chart" uri="{C3380CC4-5D6E-409C-BE32-E72D297353CC}">
                  <c16:uniqueId val="{00000002-0CFA-41AC-8EAA-1787E1163761}"/>
                </c:ext>
              </c:extLst>
            </c:dLbl>
            <c:dLbl>
              <c:idx val="6"/>
              <c:delete val="1"/>
              <c:extLst>
                <c:ext xmlns:c15="http://schemas.microsoft.com/office/drawing/2012/chart" uri="{CE6537A1-D6FC-4f65-9D91-7224C49458BB}"/>
                <c:ext xmlns:c16="http://schemas.microsoft.com/office/drawing/2014/chart" uri="{C3380CC4-5D6E-409C-BE32-E72D297353CC}">
                  <c16:uniqueId val="{00000001-0CFA-41AC-8EAA-1787E1163761}"/>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Charts!$R$13:$R$19</c:f>
              <c:numCache>
                <c:formatCode>0%</c:formatCode>
                <c:ptCount val="7"/>
                <c:pt idx="0">
                  <c:v>0.20172688492573368</c:v>
                </c:pt>
                <c:pt idx="1">
                  <c:v>0.23847458498226859</c:v>
                </c:pt>
                <c:pt idx="2">
                  <c:v>0.1406691679087218</c:v>
                </c:pt>
                <c:pt idx="3">
                  <c:v>0.14298196021997225</c:v>
                </c:pt>
                <c:pt idx="4">
                  <c:v>5.5661201624094159E-2</c:v>
                </c:pt>
                <c:pt idx="5">
                  <c:v>0.77951379966079049</c:v>
                </c:pt>
                <c:pt idx="6">
                  <c:v>0.22048620033920954</c:v>
                </c:pt>
              </c:numCache>
            </c:numRef>
          </c:val>
          <c:extLst>
            <c:ext xmlns:c16="http://schemas.microsoft.com/office/drawing/2014/chart" uri="{C3380CC4-5D6E-409C-BE32-E72D297353CC}">
              <c16:uniqueId val="{00000000-0CFA-41AC-8EAA-1787E1163761}"/>
            </c:ext>
          </c:extLst>
        </c:ser>
        <c:dLbls>
          <c:showLegendKey val="0"/>
          <c:showVal val="1"/>
          <c:showCatName val="0"/>
          <c:showSerName val="0"/>
          <c:showPercent val="0"/>
          <c:showBubbleSize val="0"/>
          <c:showLeaderLines val="1"/>
        </c:dLbls>
        <c:firstSliceAng val="0"/>
        <c:holeSize val="75"/>
      </c:doughnutChart>
    </c:plotArea>
    <c:legend>
      <c:legendPos val="l"/>
      <c:layout>
        <c:manualLayout>
          <c:xMode val="edge"/>
          <c:yMode val="edge"/>
          <c:x val="4.7058794467318532E-2"/>
          <c:y val="0.2010200543690249"/>
          <c:w val="0.59999962945831131"/>
          <c:h val="0.74493484833313661"/>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2024</a:t>
            </a:r>
          </a:p>
        </c:rich>
      </c:tx>
      <c:overlay val="0"/>
    </c:title>
    <c:autoTitleDeleted val="0"/>
    <c:plotArea>
      <c:layout>
        <c:manualLayout>
          <c:layoutTarget val="inner"/>
          <c:xMode val="edge"/>
          <c:yMode val="edge"/>
          <c:x val="2.6317703322396215E-2"/>
          <c:y val="0.182812908910035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3-576E-4804-BE4B-571C81D10D33}"/>
              </c:ext>
            </c:extLst>
          </c:dPt>
          <c:dPt>
            <c:idx val="1"/>
            <c:bubble3D val="0"/>
            <c:spPr>
              <a:solidFill>
                <a:srgbClr val="FF2D2D"/>
              </a:solidFill>
            </c:spPr>
            <c:extLst>
              <c:ext xmlns:c16="http://schemas.microsoft.com/office/drawing/2014/chart" uri="{C3380CC4-5D6E-409C-BE32-E72D297353CC}">
                <c16:uniqueId val="{00000004-576E-4804-BE4B-571C81D10D33}"/>
              </c:ext>
            </c:extLst>
          </c:dPt>
          <c:dPt>
            <c:idx val="2"/>
            <c:bubble3D val="0"/>
            <c:spPr>
              <a:solidFill>
                <a:srgbClr val="FF5D5D"/>
              </a:solidFill>
            </c:spPr>
            <c:extLst>
              <c:ext xmlns:c16="http://schemas.microsoft.com/office/drawing/2014/chart" uri="{C3380CC4-5D6E-409C-BE32-E72D297353CC}">
                <c16:uniqueId val="{00000005-576E-4804-BE4B-571C81D10D33}"/>
              </c:ext>
            </c:extLst>
          </c:dPt>
          <c:dPt>
            <c:idx val="3"/>
            <c:bubble3D val="0"/>
            <c:spPr>
              <a:solidFill>
                <a:srgbClr val="FF9797"/>
              </a:solidFill>
            </c:spPr>
            <c:extLst>
              <c:ext xmlns:c16="http://schemas.microsoft.com/office/drawing/2014/chart" uri="{C3380CC4-5D6E-409C-BE32-E72D297353CC}">
                <c16:uniqueId val="{00000006-576E-4804-BE4B-571C81D10D33}"/>
              </c:ext>
            </c:extLst>
          </c:dPt>
          <c:dPt>
            <c:idx val="4"/>
            <c:bubble3D val="0"/>
            <c:spPr>
              <a:solidFill>
                <a:srgbClr val="FFD5D5"/>
              </a:solidFill>
            </c:spPr>
            <c:extLst>
              <c:ext xmlns:c16="http://schemas.microsoft.com/office/drawing/2014/chart" uri="{C3380CC4-5D6E-409C-BE32-E72D297353CC}">
                <c16:uniqueId val="{00000007-576E-4804-BE4B-571C81D10D33}"/>
              </c:ext>
            </c:extLst>
          </c:dPt>
          <c:dPt>
            <c:idx val="5"/>
            <c:bubble3D val="0"/>
            <c:spPr>
              <a:noFill/>
            </c:spPr>
            <c:extLst>
              <c:ext xmlns:c16="http://schemas.microsoft.com/office/drawing/2014/chart" uri="{C3380CC4-5D6E-409C-BE32-E72D297353CC}">
                <c16:uniqueId val="{00000002-576E-4804-BE4B-571C81D10D33}"/>
              </c:ext>
            </c:extLst>
          </c:dPt>
          <c:dPt>
            <c:idx val="6"/>
            <c:bubble3D val="0"/>
            <c:spPr>
              <a:noFill/>
            </c:spPr>
            <c:extLst>
              <c:ext xmlns:c16="http://schemas.microsoft.com/office/drawing/2014/chart" uri="{C3380CC4-5D6E-409C-BE32-E72D297353CC}">
                <c16:uniqueId val="{00000001-576E-4804-BE4B-571C81D10D33}"/>
              </c:ext>
            </c:extLst>
          </c:dPt>
          <c:dLbls>
            <c:dLbl>
              <c:idx val="5"/>
              <c:delete val="1"/>
              <c:extLst>
                <c:ext xmlns:c15="http://schemas.microsoft.com/office/drawing/2012/chart" uri="{CE6537A1-D6FC-4f65-9D91-7224C49458BB}"/>
                <c:ext xmlns:c16="http://schemas.microsoft.com/office/drawing/2014/chart" uri="{C3380CC4-5D6E-409C-BE32-E72D297353CC}">
                  <c16:uniqueId val="{00000002-576E-4804-BE4B-571C81D10D33}"/>
                </c:ext>
              </c:extLst>
            </c:dLbl>
            <c:dLbl>
              <c:idx val="6"/>
              <c:delete val="1"/>
              <c:extLst>
                <c:ext xmlns:c15="http://schemas.microsoft.com/office/drawing/2012/chart" uri="{CE6537A1-D6FC-4f65-9D91-7224C49458BB}"/>
                <c:ext xmlns:c16="http://schemas.microsoft.com/office/drawing/2014/chart" uri="{C3380CC4-5D6E-409C-BE32-E72D297353CC}">
                  <c16:uniqueId val="{00000001-576E-4804-BE4B-571C81D10D33}"/>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Charts!$S$13:$S$19</c:f>
              <c:numCache>
                <c:formatCode>0%</c:formatCode>
                <c:ptCount val="7"/>
                <c:pt idx="0">
                  <c:v>0.20461668573702801</c:v>
                </c:pt>
                <c:pt idx="1">
                  <c:v>0.23789861200935278</c:v>
                </c:pt>
                <c:pt idx="2">
                  <c:v>0.13780408934878863</c:v>
                </c:pt>
                <c:pt idx="3">
                  <c:v>0.14218198099597035</c:v>
                </c:pt>
                <c:pt idx="4">
                  <c:v>5.4474901746181782E-2</c:v>
                </c:pt>
                <c:pt idx="5">
                  <c:v>0.77697626983732149</c:v>
                </c:pt>
                <c:pt idx="6">
                  <c:v>0.22302373016267849</c:v>
                </c:pt>
              </c:numCache>
            </c:numRef>
          </c:val>
          <c:extLst>
            <c:ext xmlns:c16="http://schemas.microsoft.com/office/drawing/2014/chart" uri="{C3380CC4-5D6E-409C-BE32-E72D297353CC}">
              <c16:uniqueId val="{00000000-576E-4804-BE4B-571C81D10D33}"/>
            </c:ext>
          </c:extLst>
        </c:ser>
        <c:dLbls>
          <c:showLegendKey val="0"/>
          <c:showVal val="1"/>
          <c:showCatName val="0"/>
          <c:showSerName val="0"/>
          <c:showPercent val="0"/>
          <c:showBubbleSize val="0"/>
          <c:showLeaderLines val="1"/>
        </c:dLbls>
        <c:firstSliceAng val="0"/>
        <c:holeSize val="75"/>
      </c:doughnutChart>
    </c:plotArea>
    <c:legend>
      <c:legendPos val="l"/>
      <c:layout>
        <c:manualLayout>
          <c:xMode val="edge"/>
          <c:yMode val="edge"/>
          <c:x val="4.7058794467318532E-2"/>
          <c:y val="0.2010200543690249"/>
          <c:w val="0.61568589428075071"/>
          <c:h val="0.74493484833313661"/>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2020</a:t>
            </a:r>
          </a:p>
        </c:rich>
      </c:tx>
      <c:overlay val="0"/>
    </c:title>
    <c:autoTitleDeleted val="0"/>
    <c:plotArea>
      <c:layout>
        <c:manualLayout>
          <c:layoutTarget val="inner"/>
          <c:xMode val="edge"/>
          <c:yMode val="edge"/>
          <c:x val="1.8474591030050311E-2"/>
          <c:y val="0.157184093996541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1-3F6B-476D-B1AD-42B815307D33}"/>
              </c:ext>
            </c:extLst>
          </c:dPt>
          <c:dPt>
            <c:idx val="1"/>
            <c:bubble3D val="0"/>
            <c:spPr>
              <a:solidFill>
                <a:srgbClr val="FF2D2D"/>
              </a:solidFill>
            </c:spPr>
            <c:extLst>
              <c:ext xmlns:c16="http://schemas.microsoft.com/office/drawing/2014/chart" uri="{C3380CC4-5D6E-409C-BE32-E72D297353CC}">
                <c16:uniqueId val="{00000003-3F6B-476D-B1AD-42B815307D33}"/>
              </c:ext>
            </c:extLst>
          </c:dPt>
          <c:dPt>
            <c:idx val="2"/>
            <c:bubble3D val="0"/>
            <c:spPr>
              <a:solidFill>
                <a:srgbClr val="FF5D5D"/>
              </a:solidFill>
            </c:spPr>
            <c:extLst>
              <c:ext xmlns:c16="http://schemas.microsoft.com/office/drawing/2014/chart" uri="{C3380CC4-5D6E-409C-BE32-E72D297353CC}">
                <c16:uniqueId val="{00000005-3F6B-476D-B1AD-42B815307D33}"/>
              </c:ext>
            </c:extLst>
          </c:dPt>
          <c:dPt>
            <c:idx val="3"/>
            <c:bubble3D val="0"/>
            <c:spPr>
              <a:solidFill>
                <a:srgbClr val="FF9797"/>
              </a:solidFill>
            </c:spPr>
            <c:extLst>
              <c:ext xmlns:c16="http://schemas.microsoft.com/office/drawing/2014/chart" uri="{C3380CC4-5D6E-409C-BE32-E72D297353CC}">
                <c16:uniqueId val="{00000007-3F6B-476D-B1AD-42B815307D33}"/>
              </c:ext>
            </c:extLst>
          </c:dPt>
          <c:dPt>
            <c:idx val="4"/>
            <c:bubble3D val="0"/>
            <c:spPr>
              <a:solidFill>
                <a:srgbClr val="FFE5E5"/>
              </a:solidFill>
            </c:spPr>
            <c:extLst>
              <c:ext xmlns:c16="http://schemas.microsoft.com/office/drawing/2014/chart" uri="{C3380CC4-5D6E-409C-BE32-E72D297353CC}">
                <c16:uniqueId val="{00000009-3F6B-476D-B1AD-42B815307D33}"/>
              </c:ext>
            </c:extLst>
          </c:dPt>
          <c:dPt>
            <c:idx val="5"/>
            <c:bubble3D val="0"/>
            <c:spPr>
              <a:noFill/>
            </c:spPr>
            <c:extLst>
              <c:ext xmlns:c16="http://schemas.microsoft.com/office/drawing/2014/chart" uri="{C3380CC4-5D6E-409C-BE32-E72D297353CC}">
                <c16:uniqueId val="{0000000B-3F6B-476D-B1AD-42B815307D33}"/>
              </c:ext>
            </c:extLst>
          </c:dPt>
          <c:dPt>
            <c:idx val="6"/>
            <c:bubble3D val="0"/>
            <c:spPr>
              <a:noFill/>
            </c:spPr>
            <c:extLst>
              <c:ext xmlns:c16="http://schemas.microsoft.com/office/drawing/2014/chart" uri="{C3380CC4-5D6E-409C-BE32-E72D297353CC}">
                <c16:uniqueId val="{0000000D-3F6B-476D-B1AD-42B815307D33}"/>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Charts!$O$13:$O$19</c:f>
              <c:numCache>
                <c:formatCode>0%</c:formatCode>
                <c:ptCount val="7"/>
                <c:pt idx="0">
                  <c:v>0.22712646469552547</c:v>
                </c:pt>
                <c:pt idx="1">
                  <c:v>0.20751624066541194</c:v>
                </c:pt>
                <c:pt idx="2">
                  <c:v>0.16677797340780767</c:v>
                </c:pt>
                <c:pt idx="3">
                  <c:v>0.16398518608463361</c:v>
                </c:pt>
                <c:pt idx="4">
                  <c:v>5.9559225305081662E-2</c:v>
                </c:pt>
                <c:pt idx="5">
                  <c:v>0.82496509015846031</c:v>
                </c:pt>
                <c:pt idx="6">
                  <c:v>0.17503490984153969</c:v>
                </c:pt>
              </c:numCache>
            </c:numRef>
          </c:val>
          <c:extLst>
            <c:ext xmlns:c16="http://schemas.microsoft.com/office/drawing/2014/chart" uri="{C3380CC4-5D6E-409C-BE32-E72D297353CC}">
              <c16:uniqueId val="{0000000E-3F6B-476D-B1AD-42B815307D33}"/>
            </c:ext>
          </c:extLst>
        </c:ser>
        <c:dLbls>
          <c:showLegendKey val="0"/>
          <c:showVal val="1"/>
          <c:showCatName val="0"/>
          <c:showSerName val="0"/>
          <c:showPercent val="0"/>
          <c:showBubbleSize val="0"/>
          <c:showLeaderLines val="1"/>
        </c:dLbls>
        <c:firstSliceAng val="0"/>
        <c:holeSize val="75"/>
      </c:doughnutChart>
    </c:plotArea>
    <c:legend>
      <c:legendPos val="r"/>
      <c:legendEntry>
        <c:idx val="5"/>
        <c:delete val="1"/>
      </c:legendEntry>
      <c:legendEntry>
        <c:idx val="6"/>
        <c:delete val="1"/>
      </c:legendEntry>
      <c:layout>
        <c:manualLayout>
          <c:xMode val="edge"/>
          <c:yMode val="edge"/>
          <c:x val="6.1756948117151577E-7"/>
          <c:y val="0.18678517360576627"/>
          <c:w val="0.48235264329001493"/>
          <c:h val="0.76865964960523425"/>
        </c:manualLayout>
      </c:layout>
      <c:overlay val="0"/>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b="1">
                <a:solidFill>
                  <a:sysClr val="windowText" lastClr="000000"/>
                </a:solidFill>
              </a:rPr>
              <a:t>Revenue</a:t>
            </a:r>
            <a:r>
              <a:rPr lang="en-IN" b="1" baseline="0">
                <a:solidFill>
                  <a:sysClr val="windowText" lastClr="000000"/>
                </a:solidFill>
              </a:rPr>
              <a:t> vs Profit Margins</a:t>
            </a:r>
            <a:endParaRPr lang="en-IN"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Charts!$B$113</c:f>
              <c:strCache>
                <c:ptCount val="1"/>
                <c:pt idx="0">
                  <c:v>Total Net Revenue</c:v>
                </c:pt>
              </c:strCache>
            </c:strRef>
          </c:tx>
          <c:spPr>
            <a:solidFill>
              <a:schemeClr val="tx1">
                <a:lumMod val="50000"/>
                <a:lumOff val="50000"/>
              </a:schemeClr>
            </a:solidFill>
            <a:ln>
              <a:noFill/>
            </a:ln>
            <a:effectLst/>
          </c:spPr>
          <c:invertIfNegative val="0"/>
          <c:cat>
            <c:numRef>
              <c:f>Charts!$C$10:$L$10</c:f>
              <c:numCache>
                <c:formatCode>General"A"</c:formatCode>
                <c:ptCount val="10"/>
                <c:pt idx="0">
                  <c:v>2020</c:v>
                </c:pt>
                <c:pt idx="1">
                  <c:v>2021</c:v>
                </c:pt>
                <c:pt idx="2">
                  <c:v>2022</c:v>
                </c:pt>
                <c:pt idx="3">
                  <c:v>2023</c:v>
                </c:pt>
                <c:pt idx="4">
                  <c:v>2024</c:v>
                </c:pt>
                <c:pt idx="5" formatCode="General&quot;E&quot;">
                  <c:v>2025</c:v>
                </c:pt>
                <c:pt idx="6" formatCode="General&quot;E&quot;">
                  <c:v>2026</c:v>
                </c:pt>
                <c:pt idx="7" formatCode="General&quot;E&quot;">
                  <c:v>2027</c:v>
                </c:pt>
                <c:pt idx="8" formatCode="General&quot;E&quot;">
                  <c:v>2028</c:v>
                </c:pt>
                <c:pt idx="9" formatCode="General&quot;E&quot;">
                  <c:v>2029</c:v>
                </c:pt>
              </c:numCache>
            </c:numRef>
          </c:cat>
          <c:val>
            <c:numRef>
              <c:f>Charts!$C$113:$L$113</c:f>
              <c:numCache>
                <c:formatCode>#,##0</c:formatCode>
                <c:ptCount val="10"/>
                <c:pt idx="0">
                  <c:v>16471</c:v>
                </c:pt>
                <c:pt idx="1">
                  <c:v>17421</c:v>
                </c:pt>
                <c:pt idx="2">
                  <c:v>17967</c:v>
                </c:pt>
                <c:pt idx="3">
                  <c:v>19457</c:v>
                </c:pt>
                <c:pt idx="4">
                  <c:v>20101</c:v>
                </c:pt>
                <c:pt idx="5">
                  <c:v>21635.679211618288</c:v>
                </c:pt>
                <c:pt idx="6">
                  <c:v>23388.662017516963</c:v>
                </c:pt>
                <c:pt idx="7">
                  <c:v>25382.149413596042</c:v>
                </c:pt>
                <c:pt idx="8">
                  <c:v>27714.609594664202</c:v>
                </c:pt>
                <c:pt idx="9">
                  <c:v>30458.183413413622</c:v>
                </c:pt>
              </c:numCache>
            </c:numRef>
          </c:val>
          <c:extLst>
            <c:ext xmlns:c16="http://schemas.microsoft.com/office/drawing/2014/chart" uri="{C3380CC4-5D6E-409C-BE32-E72D297353CC}">
              <c16:uniqueId val="{00000000-9AAF-477E-B926-D901788EAD2A}"/>
            </c:ext>
          </c:extLst>
        </c:ser>
        <c:dLbls>
          <c:showLegendKey val="0"/>
          <c:showVal val="0"/>
          <c:showCatName val="0"/>
          <c:showSerName val="0"/>
          <c:showPercent val="0"/>
          <c:showBubbleSize val="0"/>
        </c:dLbls>
        <c:gapWidth val="219"/>
        <c:overlap val="-27"/>
        <c:axId val="380508336"/>
        <c:axId val="380505456"/>
      </c:barChart>
      <c:lineChart>
        <c:grouping val="standard"/>
        <c:varyColors val="0"/>
        <c:ser>
          <c:idx val="1"/>
          <c:order val="1"/>
          <c:tx>
            <c:strRef>
              <c:f>Charts!$B$114</c:f>
              <c:strCache>
                <c:ptCount val="1"/>
                <c:pt idx="0">
                  <c:v>Gross Profit Margin (%)</c:v>
                </c:pt>
              </c:strCache>
            </c:strRef>
          </c:tx>
          <c:spPr>
            <a:ln w="28575" cap="rnd">
              <a:solidFill>
                <a:srgbClr val="FF5D5D"/>
              </a:solidFill>
              <a:round/>
            </a:ln>
            <a:effectLst/>
          </c:spPr>
          <c:marker>
            <c:symbol val="circle"/>
            <c:size val="8"/>
            <c:spPr>
              <a:solidFill>
                <a:srgbClr val="FF9797"/>
              </a:solidFill>
              <a:ln w="9525">
                <a:noFill/>
              </a:ln>
              <a:effectLst/>
            </c:spPr>
          </c:marker>
          <c:cat>
            <c:numRef>
              <c:f>Charts!$C$10:$L$10</c:f>
              <c:numCache>
                <c:formatCode>General"A"</c:formatCode>
                <c:ptCount val="10"/>
                <c:pt idx="0">
                  <c:v>2020</c:v>
                </c:pt>
                <c:pt idx="1">
                  <c:v>2021</c:v>
                </c:pt>
                <c:pt idx="2">
                  <c:v>2022</c:v>
                </c:pt>
                <c:pt idx="3">
                  <c:v>2023</c:v>
                </c:pt>
                <c:pt idx="4">
                  <c:v>2024</c:v>
                </c:pt>
                <c:pt idx="5" formatCode="General&quot;E&quot;">
                  <c:v>2025</c:v>
                </c:pt>
                <c:pt idx="6" formatCode="General&quot;E&quot;">
                  <c:v>2026</c:v>
                </c:pt>
                <c:pt idx="7" formatCode="General&quot;E&quot;">
                  <c:v>2027</c:v>
                </c:pt>
                <c:pt idx="8" formatCode="General&quot;E&quot;">
                  <c:v>2028</c:v>
                </c:pt>
                <c:pt idx="9" formatCode="General&quot;E&quot;">
                  <c:v>2029</c:v>
                </c:pt>
              </c:numCache>
            </c:numRef>
          </c:cat>
          <c:val>
            <c:numRef>
              <c:f>Charts!$C$114:$L$114</c:f>
              <c:numCache>
                <c:formatCode>0.0%</c:formatCode>
                <c:ptCount val="10"/>
                <c:pt idx="0">
                  <c:v>0.60815979600509984</c:v>
                </c:pt>
                <c:pt idx="1">
                  <c:v>0.59554560587796335</c:v>
                </c:pt>
                <c:pt idx="2">
                  <c:v>0.57037902821840036</c:v>
                </c:pt>
                <c:pt idx="3">
                  <c:v>0.58210412704939096</c:v>
                </c:pt>
                <c:pt idx="4">
                  <c:v>0.60499477637928456</c:v>
                </c:pt>
                <c:pt idx="5">
                  <c:v>0.59223666670602781</c:v>
                </c:pt>
                <c:pt idx="6">
                  <c:v>0.58905204084621343</c:v>
                </c:pt>
                <c:pt idx="7">
                  <c:v>0.58775332783986356</c:v>
                </c:pt>
                <c:pt idx="8">
                  <c:v>0.59122818776415609</c:v>
                </c:pt>
                <c:pt idx="9">
                  <c:v>0.59305299990710902</c:v>
                </c:pt>
              </c:numCache>
            </c:numRef>
          </c:val>
          <c:smooth val="0"/>
          <c:extLst>
            <c:ext xmlns:c16="http://schemas.microsoft.com/office/drawing/2014/chart" uri="{C3380CC4-5D6E-409C-BE32-E72D297353CC}">
              <c16:uniqueId val="{00000001-9AAF-477E-B926-D901788EAD2A}"/>
            </c:ext>
          </c:extLst>
        </c:ser>
        <c:ser>
          <c:idx val="2"/>
          <c:order val="2"/>
          <c:tx>
            <c:strRef>
              <c:f>Charts!$B$115</c:f>
              <c:strCache>
                <c:ptCount val="1"/>
                <c:pt idx="0">
                  <c:v>Operating Profit Margin (%)</c:v>
                </c:pt>
              </c:strCache>
            </c:strRef>
          </c:tx>
          <c:spPr>
            <a:ln w="28575" cap="rnd">
              <a:solidFill>
                <a:srgbClr val="FF0000"/>
              </a:solidFill>
              <a:round/>
            </a:ln>
            <a:effectLst/>
          </c:spPr>
          <c:marker>
            <c:symbol val="circle"/>
            <c:size val="9"/>
            <c:spPr>
              <a:solidFill>
                <a:srgbClr val="FF0000"/>
              </a:solidFill>
              <a:ln w="9525">
                <a:noFill/>
              </a:ln>
              <a:effectLst/>
            </c:spPr>
          </c:marker>
          <c:cat>
            <c:numRef>
              <c:f>Charts!$C$10:$L$10</c:f>
              <c:numCache>
                <c:formatCode>General"A"</c:formatCode>
                <c:ptCount val="10"/>
                <c:pt idx="0">
                  <c:v>2020</c:v>
                </c:pt>
                <c:pt idx="1">
                  <c:v>2021</c:v>
                </c:pt>
                <c:pt idx="2">
                  <c:v>2022</c:v>
                </c:pt>
                <c:pt idx="3">
                  <c:v>2023</c:v>
                </c:pt>
                <c:pt idx="4">
                  <c:v>2024</c:v>
                </c:pt>
                <c:pt idx="5" formatCode="General&quot;E&quot;">
                  <c:v>2025</c:v>
                </c:pt>
                <c:pt idx="6" formatCode="General&quot;E&quot;">
                  <c:v>2026</c:v>
                </c:pt>
                <c:pt idx="7" formatCode="General&quot;E&quot;">
                  <c:v>2027</c:v>
                </c:pt>
                <c:pt idx="8" formatCode="General&quot;E&quot;">
                  <c:v>2028</c:v>
                </c:pt>
                <c:pt idx="9" formatCode="General&quot;E&quot;">
                  <c:v>2029</c:v>
                </c:pt>
              </c:numCache>
            </c:numRef>
          </c:cat>
          <c:val>
            <c:numRef>
              <c:f>Charts!$C$115:$L$115</c:f>
              <c:numCache>
                <c:formatCode>0.0%</c:formatCode>
                <c:ptCount val="10"/>
                <c:pt idx="0">
                  <c:v>0.2358691032724182</c:v>
                </c:pt>
                <c:pt idx="1">
                  <c:v>0.19126341771425293</c:v>
                </c:pt>
                <c:pt idx="2">
                  <c:v>0.16101742082707185</c:v>
                </c:pt>
                <c:pt idx="3">
                  <c:v>0.20475921262270649</c:v>
                </c:pt>
                <c:pt idx="4">
                  <c:v>0.21232774488831402</c:v>
                </c:pt>
                <c:pt idx="5">
                  <c:v>0.21562851180240655</c:v>
                </c:pt>
                <c:pt idx="6">
                  <c:v>0.21158039350840419</c:v>
                </c:pt>
                <c:pt idx="7">
                  <c:v>0.20908848185361895</c:v>
                </c:pt>
                <c:pt idx="8">
                  <c:v>0.21067686893509005</c:v>
                </c:pt>
                <c:pt idx="9">
                  <c:v>0.21186040019756669</c:v>
                </c:pt>
              </c:numCache>
            </c:numRef>
          </c:val>
          <c:smooth val="0"/>
          <c:extLst>
            <c:ext xmlns:c16="http://schemas.microsoft.com/office/drawing/2014/chart" uri="{C3380CC4-5D6E-409C-BE32-E72D297353CC}">
              <c16:uniqueId val="{00000002-9AAF-477E-B926-D901788EAD2A}"/>
            </c:ext>
          </c:extLst>
        </c:ser>
        <c:ser>
          <c:idx val="3"/>
          <c:order val="3"/>
          <c:tx>
            <c:strRef>
              <c:f>Charts!$B$116</c:f>
              <c:strCache>
                <c:ptCount val="1"/>
                <c:pt idx="0">
                  <c:v>Net Profit Margin (%)</c:v>
                </c:pt>
              </c:strCache>
            </c:strRef>
          </c:tx>
          <c:spPr>
            <a:ln w="28575" cap="rnd">
              <a:solidFill>
                <a:srgbClr val="B00000"/>
              </a:solidFill>
              <a:round/>
            </a:ln>
            <a:effectLst/>
          </c:spPr>
          <c:marker>
            <c:symbol val="circle"/>
            <c:size val="9"/>
            <c:spPr>
              <a:solidFill>
                <a:srgbClr val="B00000"/>
              </a:solidFill>
              <a:ln w="9525">
                <a:noFill/>
              </a:ln>
              <a:effectLst/>
            </c:spPr>
          </c:marker>
          <c:cat>
            <c:numRef>
              <c:f>Charts!$C$10:$L$10</c:f>
              <c:numCache>
                <c:formatCode>General"A"</c:formatCode>
                <c:ptCount val="10"/>
                <c:pt idx="0">
                  <c:v>2020</c:v>
                </c:pt>
                <c:pt idx="1">
                  <c:v>2021</c:v>
                </c:pt>
                <c:pt idx="2">
                  <c:v>2022</c:v>
                </c:pt>
                <c:pt idx="3">
                  <c:v>2023</c:v>
                </c:pt>
                <c:pt idx="4">
                  <c:v>2024</c:v>
                </c:pt>
                <c:pt idx="5" formatCode="General&quot;E&quot;">
                  <c:v>2025</c:v>
                </c:pt>
                <c:pt idx="6" formatCode="General&quot;E&quot;">
                  <c:v>2026</c:v>
                </c:pt>
                <c:pt idx="7" formatCode="General&quot;E&quot;">
                  <c:v>2027</c:v>
                </c:pt>
                <c:pt idx="8" formatCode="General&quot;E&quot;">
                  <c:v>2028</c:v>
                </c:pt>
                <c:pt idx="9" formatCode="General&quot;E&quot;">
                  <c:v>2029</c:v>
                </c:pt>
              </c:numCache>
            </c:numRef>
          </c:cat>
          <c:val>
            <c:numRef>
              <c:f>Charts!$C$116:$L$116</c:f>
              <c:numCache>
                <c:formatCode>0.0%</c:formatCode>
                <c:ptCount val="10"/>
                <c:pt idx="0">
                  <c:v>0.16362090947726307</c:v>
                </c:pt>
                <c:pt idx="1">
                  <c:v>0.12433270191148614</c:v>
                </c:pt>
                <c:pt idx="2">
                  <c:v>9.9348806144598428E-2</c:v>
                </c:pt>
                <c:pt idx="3">
                  <c:v>0.1182093847972452</c:v>
                </c:pt>
                <c:pt idx="4">
                  <c:v>0.14372419282622756</c:v>
                </c:pt>
                <c:pt idx="5">
                  <c:v>0.14102135139787708</c:v>
                </c:pt>
                <c:pt idx="6">
                  <c:v>0.13988276846449316</c:v>
                </c:pt>
                <c:pt idx="7">
                  <c:v>0.1390034444665974</c:v>
                </c:pt>
                <c:pt idx="8">
                  <c:v>0.14031696150036002</c:v>
                </c:pt>
                <c:pt idx="9">
                  <c:v>0.14344671783153298</c:v>
                </c:pt>
              </c:numCache>
            </c:numRef>
          </c:val>
          <c:smooth val="0"/>
          <c:extLst>
            <c:ext xmlns:c16="http://schemas.microsoft.com/office/drawing/2014/chart" uri="{C3380CC4-5D6E-409C-BE32-E72D297353CC}">
              <c16:uniqueId val="{00000003-9AAF-477E-B926-D901788EAD2A}"/>
            </c:ext>
          </c:extLst>
        </c:ser>
        <c:dLbls>
          <c:showLegendKey val="0"/>
          <c:showVal val="0"/>
          <c:showCatName val="0"/>
          <c:showSerName val="0"/>
          <c:showPercent val="0"/>
          <c:showBubbleSize val="0"/>
        </c:dLbls>
        <c:marker val="1"/>
        <c:smooth val="0"/>
        <c:axId val="380492496"/>
        <c:axId val="380507376"/>
      </c:lineChart>
      <c:catAx>
        <c:axId val="380492496"/>
        <c:scaling>
          <c:orientation val="minMax"/>
        </c:scaling>
        <c:delete val="0"/>
        <c:axPos val="b"/>
        <c:numFmt formatCode="General&quot;A&quot;"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380507376"/>
        <c:crosses val="autoZero"/>
        <c:auto val="1"/>
        <c:lblAlgn val="ctr"/>
        <c:lblOffset val="100"/>
        <c:noMultiLvlLbl val="0"/>
      </c:catAx>
      <c:valAx>
        <c:axId val="38050737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380492496"/>
        <c:crosses val="autoZero"/>
        <c:crossBetween val="between"/>
      </c:valAx>
      <c:valAx>
        <c:axId val="38050545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380508336"/>
        <c:crosses val="max"/>
        <c:crossBetween val="between"/>
      </c:valAx>
      <c:catAx>
        <c:axId val="380508336"/>
        <c:scaling>
          <c:orientation val="minMax"/>
        </c:scaling>
        <c:delete val="1"/>
        <c:axPos val="b"/>
        <c:numFmt formatCode="General&quot;A&quot;" sourceLinked="1"/>
        <c:majorTickMark val="out"/>
        <c:minorTickMark val="none"/>
        <c:tickLblPos val="nextTo"/>
        <c:crossAx val="3805054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IN" sz="1200"/>
              <a:t>2023</a:t>
            </a:r>
          </a:p>
        </c:rich>
      </c:tx>
      <c:layout>
        <c:manualLayout>
          <c:xMode val="edge"/>
          <c:yMode val="edge"/>
          <c:x val="0.42066661888598605"/>
          <c:y val="9.3394318357264167E-2"/>
        </c:manualLayout>
      </c:layout>
      <c:overlay val="0"/>
    </c:title>
    <c:autoTitleDeleted val="0"/>
    <c:plotArea>
      <c:layout>
        <c:manualLayout>
          <c:layoutTarget val="inner"/>
          <c:xMode val="edge"/>
          <c:yMode val="edge"/>
          <c:x val="2.6317703322396215E-2"/>
          <c:y val="0.18281290891003582"/>
          <c:w val="0.81706246719160103"/>
          <c:h val="0.80366800051632892"/>
        </c:manualLayout>
      </c:layout>
      <c:doughnutChart>
        <c:varyColors val="1"/>
        <c:ser>
          <c:idx val="1"/>
          <c:order val="0"/>
          <c:explosion val="5"/>
          <c:dPt>
            <c:idx val="0"/>
            <c:bubble3D val="0"/>
            <c:spPr>
              <a:solidFill>
                <a:srgbClr val="B00000"/>
              </a:solidFill>
            </c:spPr>
            <c:extLst>
              <c:ext xmlns:c16="http://schemas.microsoft.com/office/drawing/2014/chart" uri="{C3380CC4-5D6E-409C-BE32-E72D297353CC}">
                <c16:uniqueId val="{00000001-099E-4079-B8E5-205088767C2F}"/>
              </c:ext>
            </c:extLst>
          </c:dPt>
          <c:dPt>
            <c:idx val="1"/>
            <c:bubble3D val="0"/>
            <c:spPr>
              <a:solidFill>
                <a:srgbClr val="FF2D2D"/>
              </a:solidFill>
            </c:spPr>
            <c:extLst>
              <c:ext xmlns:c16="http://schemas.microsoft.com/office/drawing/2014/chart" uri="{C3380CC4-5D6E-409C-BE32-E72D297353CC}">
                <c16:uniqueId val="{00000003-099E-4079-B8E5-205088767C2F}"/>
              </c:ext>
            </c:extLst>
          </c:dPt>
          <c:dPt>
            <c:idx val="2"/>
            <c:bubble3D val="0"/>
            <c:spPr>
              <a:solidFill>
                <a:srgbClr val="FF5D5D"/>
              </a:solidFill>
            </c:spPr>
            <c:extLst>
              <c:ext xmlns:c16="http://schemas.microsoft.com/office/drawing/2014/chart" uri="{C3380CC4-5D6E-409C-BE32-E72D297353CC}">
                <c16:uniqueId val="{00000005-099E-4079-B8E5-205088767C2F}"/>
              </c:ext>
            </c:extLst>
          </c:dPt>
          <c:dPt>
            <c:idx val="3"/>
            <c:bubble3D val="0"/>
            <c:spPr>
              <a:solidFill>
                <a:srgbClr val="FF9797"/>
              </a:solidFill>
            </c:spPr>
            <c:extLst>
              <c:ext xmlns:c16="http://schemas.microsoft.com/office/drawing/2014/chart" uri="{C3380CC4-5D6E-409C-BE32-E72D297353CC}">
                <c16:uniqueId val="{00000007-099E-4079-B8E5-205088767C2F}"/>
              </c:ext>
            </c:extLst>
          </c:dPt>
          <c:dPt>
            <c:idx val="4"/>
            <c:bubble3D val="0"/>
            <c:spPr>
              <a:solidFill>
                <a:srgbClr val="FFD5D5"/>
              </a:solidFill>
            </c:spPr>
            <c:extLst>
              <c:ext xmlns:c16="http://schemas.microsoft.com/office/drawing/2014/chart" uri="{C3380CC4-5D6E-409C-BE32-E72D297353CC}">
                <c16:uniqueId val="{00000009-099E-4079-B8E5-205088767C2F}"/>
              </c:ext>
            </c:extLst>
          </c:dPt>
          <c:dPt>
            <c:idx val="5"/>
            <c:bubble3D val="0"/>
            <c:spPr>
              <a:noFill/>
            </c:spPr>
            <c:extLst>
              <c:ext xmlns:c16="http://schemas.microsoft.com/office/drawing/2014/chart" uri="{C3380CC4-5D6E-409C-BE32-E72D297353CC}">
                <c16:uniqueId val="{0000000B-099E-4079-B8E5-205088767C2F}"/>
              </c:ext>
            </c:extLst>
          </c:dPt>
          <c:dPt>
            <c:idx val="6"/>
            <c:bubble3D val="0"/>
            <c:spPr>
              <a:noFill/>
            </c:spPr>
            <c:extLst>
              <c:ext xmlns:c16="http://schemas.microsoft.com/office/drawing/2014/chart" uri="{C3380CC4-5D6E-409C-BE32-E72D297353CC}">
                <c16:uniqueId val="{0000000D-099E-4079-B8E5-205088767C2F}"/>
              </c:ext>
            </c:extLst>
          </c:dPt>
          <c:dLbls>
            <c:dLbl>
              <c:idx val="0"/>
              <c:layout>
                <c:manualLayout>
                  <c:x val="8.8888888888888889E-3"/>
                  <c:y val="-1.2288792427781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9E-4079-B8E5-205088767C2F}"/>
                </c:ext>
              </c:extLst>
            </c:dLbl>
            <c:dLbl>
              <c:idx val="1"/>
              <c:layout>
                <c:manualLayout>
                  <c:x val="2.2222222222222223E-2"/>
                  <c:y val="3.6866377283344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9E-4079-B8E5-205088767C2F}"/>
                </c:ext>
              </c:extLst>
            </c:dLbl>
            <c:dLbl>
              <c:idx val="4"/>
              <c:layout>
                <c:manualLayout>
                  <c:x val="5.1871178122384967E-3"/>
                  <c:y val="1.3610664258365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9E-4079-B8E5-205088767C2F}"/>
                </c:ext>
              </c:extLst>
            </c:dLbl>
            <c:dLbl>
              <c:idx val="5"/>
              <c:delete val="1"/>
              <c:extLst>
                <c:ext xmlns:c15="http://schemas.microsoft.com/office/drawing/2012/chart" uri="{CE6537A1-D6FC-4f65-9D91-7224C49458BB}"/>
                <c:ext xmlns:c16="http://schemas.microsoft.com/office/drawing/2014/chart" uri="{C3380CC4-5D6E-409C-BE32-E72D297353CC}">
                  <c16:uniqueId val="{0000000B-099E-4079-B8E5-205088767C2F}"/>
                </c:ext>
              </c:extLst>
            </c:dLbl>
            <c:dLbl>
              <c:idx val="6"/>
              <c:delete val="1"/>
              <c:extLst>
                <c:ext xmlns:c15="http://schemas.microsoft.com/office/drawing/2012/chart" uri="{CE6537A1-D6FC-4f65-9D91-7224C49458BB}"/>
                <c:ext xmlns:c16="http://schemas.microsoft.com/office/drawing/2014/chart" uri="{C3380CC4-5D6E-409C-BE32-E72D297353CC}">
                  <c16:uniqueId val="{0000000D-099E-4079-B8E5-205088767C2F}"/>
                </c:ext>
              </c:extLst>
            </c:dLbl>
            <c:spPr>
              <a:noFill/>
              <a:ln>
                <a:noFill/>
              </a:ln>
              <a:effectLst/>
            </c:spPr>
            <c:txPr>
              <a:bodyPr rot="2700000" wrap="square" lIns="38100" tIns="19050" rIns="38100" bIns="19050" anchor="b" anchorCtr="0">
                <a:spAutoFit/>
              </a:bodyPr>
              <a:lstStyle/>
              <a:p>
                <a:pPr>
                  <a:defRPr sz="1000" b="1">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[1]Charts!$B$13:$B$19</c:f>
              <c:strCache>
                <c:ptCount val="7"/>
                <c:pt idx="0">
                  <c:v>North America</c:v>
                </c:pt>
                <c:pt idx="1">
                  <c:v>Latin America</c:v>
                </c:pt>
                <c:pt idx="2">
                  <c:v>Europe</c:v>
                </c:pt>
                <c:pt idx="3">
                  <c:v>Asia Pacific</c:v>
                </c:pt>
                <c:pt idx="4">
                  <c:v>Africa/Eurasia</c:v>
                </c:pt>
                <c:pt idx="5">
                  <c:v>Total Oral, Personal and Home Care</c:v>
                </c:pt>
                <c:pt idx="6">
                  <c:v>Pet Nutrition</c:v>
                </c:pt>
              </c:strCache>
            </c:strRef>
          </c:cat>
          <c:val>
            <c:numRef>
              <c:f>[1]Charts!$S$13:$S$19</c:f>
              <c:numCache>
                <c:formatCode>General</c:formatCode>
                <c:ptCount val="7"/>
                <c:pt idx="0">
                  <c:v>0.20172688492573368</c:v>
                </c:pt>
                <c:pt idx="1">
                  <c:v>0.23847458498226859</c:v>
                </c:pt>
                <c:pt idx="2">
                  <c:v>0.1406691679087218</c:v>
                </c:pt>
                <c:pt idx="3">
                  <c:v>0.14298196021997225</c:v>
                </c:pt>
                <c:pt idx="4">
                  <c:v>5.5661201624094159E-2</c:v>
                </c:pt>
                <c:pt idx="5">
                  <c:v>0.77951379966079049</c:v>
                </c:pt>
                <c:pt idx="6">
                  <c:v>0.22048620033920954</c:v>
                </c:pt>
              </c:numCache>
            </c:numRef>
          </c:val>
          <c:extLst>
            <c:ext xmlns:c16="http://schemas.microsoft.com/office/drawing/2014/chart" uri="{C3380CC4-5D6E-409C-BE32-E72D297353CC}">
              <c16:uniqueId val="{0000000E-099E-4079-B8E5-205088767C2F}"/>
            </c:ext>
          </c:extLst>
        </c:ser>
        <c:dLbls>
          <c:showLegendKey val="0"/>
          <c:showVal val="1"/>
          <c:showCatName val="0"/>
          <c:showSerName val="0"/>
          <c:showPercent val="0"/>
          <c:showBubbleSize val="0"/>
          <c:showLeaderLines val="1"/>
        </c:dLbls>
        <c:firstSliceAng val="10"/>
        <c:holeSize val="50"/>
      </c:doughnutChart>
    </c:plotArea>
    <c:plotVisOnly val="1"/>
    <c:dispBlanksAs val="gap"/>
    <c:showDLblsOverMax val="0"/>
    <c:extLst/>
  </c:chart>
  <c:spPr>
    <a:noFill/>
    <a:ln>
      <a:noFill/>
    </a:ln>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IN" sz="1400"/>
              <a:t>GPC Trend</a:t>
            </a:r>
            <a:r>
              <a:rPr lang="en-IN" sz="1400" baseline="0"/>
              <a:t> Analysis as on Mar 11, 2025</a:t>
            </a:r>
            <a:endParaRPr lang="en-IN" sz="1400"/>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tx>
            <c:strRef>
              <c:f>'Business Summary'!$AF$250</c:f>
              <c:strCache>
                <c:ptCount val="1"/>
                <c:pt idx="0">
                  <c:v>Revenue</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elete val="1"/>
          </c:dLbls>
          <c:cat>
            <c:strRef>
              <c:f>'Business Summary'!$AE$251:$AE$254</c:f>
              <c:strCache>
                <c:ptCount val="4"/>
                <c:pt idx="0">
                  <c:v>Colgate Palmolive</c:v>
                </c:pt>
                <c:pt idx="1">
                  <c:v>Proctor &amp; Gamble</c:v>
                </c:pt>
                <c:pt idx="2">
                  <c:v>Kimberly Clark</c:v>
                </c:pt>
                <c:pt idx="3">
                  <c:v>Clorox</c:v>
                </c:pt>
              </c:strCache>
            </c:strRef>
          </c:cat>
          <c:val>
            <c:numRef>
              <c:f>'Business Summary'!$AF$251:$AF$254</c:f>
              <c:numCache>
                <c:formatCode>General</c:formatCode>
                <c:ptCount val="4"/>
                <c:pt idx="0">
                  <c:v>20.100999999999999</c:v>
                </c:pt>
                <c:pt idx="1">
                  <c:v>84.346000000000004</c:v>
                </c:pt>
                <c:pt idx="2">
                  <c:v>20.058</c:v>
                </c:pt>
                <c:pt idx="3">
                  <c:v>7.165</c:v>
                </c:pt>
              </c:numCache>
            </c:numRef>
          </c:val>
          <c:extLst>
            <c:ext xmlns:c16="http://schemas.microsoft.com/office/drawing/2014/chart" uri="{C3380CC4-5D6E-409C-BE32-E72D297353CC}">
              <c16:uniqueId val="{00000000-3873-4584-9C03-4FDE17BBA553}"/>
            </c:ext>
          </c:extLst>
        </c:ser>
        <c:ser>
          <c:idx val="1"/>
          <c:order val="1"/>
          <c:tx>
            <c:strRef>
              <c:f>'Business Summary'!$AG$250</c:f>
              <c:strCache>
                <c:ptCount val="1"/>
                <c:pt idx="0">
                  <c:v>Gross Profit</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elete val="1"/>
          </c:dLbls>
          <c:cat>
            <c:strRef>
              <c:f>'Business Summary'!$AE$251:$AE$254</c:f>
              <c:strCache>
                <c:ptCount val="4"/>
                <c:pt idx="0">
                  <c:v>Colgate Palmolive</c:v>
                </c:pt>
                <c:pt idx="1">
                  <c:v>Proctor &amp; Gamble</c:v>
                </c:pt>
                <c:pt idx="2">
                  <c:v>Kimberly Clark</c:v>
                </c:pt>
                <c:pt idx="3">
                  <c:v>Clorox</c:v>
                </c:pt>
              </c:strCache>
            </c:strRef>
          </c:cat>
          <c:val>
            <c:numRef>
              <c:f>'Business Summary'!$AG$251:$AG$254</c:f>
              <c:numCache>
                <c:formatCode>General</c:formatCode>
                <c:ptCount val="4"/>
                <c:pt idx="0">
                  <c:v>12.161</c:v>
                </c:pt>
                <c:pt idx="1">
                  <c:v>43.304000000000002</c:v>
                </c:pt>
                <c:pt idx="2">
                  <c:v>7.18</c:v>
                </c:pt>
                <c:pt idx="3">
                  <c:v>3.1949999999999998</c:v>
                </c:pt>
              </c:numCache>
            </c:numRef>
          </c:val>
          <c:extLst>
            <c:ext xmlns:c16="http://schemas.microsoft.com/office/drawing/2014/chart" uri="{C3380CC4-5D6E-409C-BE32-E72D297353CC}">
              <c16:uniqueId val="{00000001-3873-4584-9C03-4FDE17BBA553}"/>
            </c:ext>
          </c:extLst>
        </c:ser>
        <c:dLbls>
          <c:showLegendKey val="0"/>
          <c:showVal val="1"/>
          <c:showCatName val="0"/>
          <c:showSerName val="0"/>
          <c:showPercent val="0"/>
          <c:showBubbleSize val="0"/>
        </c:dLbls>
        <c:gapWidth val="100"/>
        <c:overlap val="-24"/>
        <c:axId val="520912224"/>
        <c:axId val="520904024"/>
      </c:barChart>
      <c:barChart>
        <c:barDir val="col"/>
        <c:grouping val="clustered"/>
        <c:varyColors val="0"/>
        <c:ser>
          <c:idx val="2"/>
          <c:order val="2"/>
          <c:tx>
            <c:strRef>
              <c:f>'Business Summary'!$AH$250</c:f>
              <c:strCache>
                <c:ptCount val="1"/>
                <c:pt idx="0">
                  <c:v>Gross Margin</c:v>
                </c:pt>
              </c:strCache>
            </c:strRef>
          </c:tx>
          <c:spPr>
            <a:blipFill>
              <a:blip xmlns:r="http://schemas.openxmlformats.org/officeDocument/2006/relationships" r:embed="rId3"/>
              <a:tile tx="0" ty="0" sx="100000" sy="100000" flip="none" algn="tl"/>
            </a:blipFill>
            <a:ln>
              <a:noFill/>
            </a:ln>
            <a:effectLst>
              <a:outerShdw blurRad="57150" dist="19050" dir="5400000" algn="ctr" rotWithShape="0">
                <a:srgbClr val="000000">
                  <a:alpha val="63000"/>
                </a:srgbClr>
              </a:outerShdw>
            </a:effectLst>
          </c:spPr>
          <c:invertIfNegative val="0"/>
          <c:cat>
            <c:strRef>
              <c:f>'Business Summary'!$AE$251:$AE$254</c:f>
              <c:strCache>
                <c:ptCount val="4"/>
                <c:pt idx="0">
                  <c:v>Colgate Palmolive</c:v>
                </c:pt>
                <c:pt idx="1">
                  <c:v>Proctor &amp; Gamble</c:v>
                </c:pt>
                <c:pt idx="2">
                  <c:v>Kimberly Clark</c:v>
                </c:pt>
                <c:pt idx="3">
                  <c:v>Clorox</c:v>
                </c:pt>
              </c:strCache>
            </c:strRef>
          </c:cat>
          <c:val>
            <c:numRef>
              <c:f>'Business Summary'!$AH$251:$AH$254</c:f>
              <c:numCache>
                <c:formatCode>0.0%</c:formatCode>
                <c:ptCount val="4"/>
                <c:pt idx="0">
                  <c:v>0.60499477637928467</c:v>
                </c:pt>
                <c:pt idx="1">
                  <c:v>0.51340905318568753</c:v>
                </c:pt>
                <c:pt idx="2">
                  <c:v>0.35796191045966697</c:v>
                </c:pt>
                <c:pt idx="3">
                  <c:v>0.44591765526866711</c:v>
                </c:pt>
              </c:numCache>
            </c:numRef>
          </c:val>
          <c:extLst>
            <c:ext xmlns:c16="http://schemas.microsoft.com/office/drawing/2014/chart" uri="{C3380CC4-5D6E-409C-BE32-E72D297353CC}">
              <c16:uniqueId val="{00000002-3873-4584-9C03-4FDE17BBA553}"/>
            </c:ext>
          </c:extLst>
        </c:ser>
        <c:dLbls>
          <c:showLegendKey val="0"/>
          <c:showVal val="0"/>
          <c:showCatName val="0"/>
          <c:showSerName val="0"/>
          <c:showPercent val="0"/>
          <c:showBubbleSize val="0"/>
        </c:dLbls>
        <c:gapWidth val="290"/>
        <c:overlap val="-8"/>
        <c:axId val="510136344"/>
        <c:axId val="510133720"/>
      </c:barChart>
      <c:catAx>
        <c:axId val="520912224"/>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20904024"/>
        <c:crossesAt val="0"/>
        <c:auto val="1"/>
        <c:lblAlgn val="ctr"/>
        <c:lblOffset val="100"/>
        <c:noMultiLvlLbl val="0"/>
      </c:catAx>
      <c:valAx>
        <c:axId val="52090402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20912224"/>
        <c:crosses val="autoZero"/>
        <c:crossBetween val="between"/>
      </c:valAx>
      <c:valAx>
        <c:axId val="510133720"/>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510136344"/>
        <c:crosses val="max"/>
        <c:crossBetween val="between"/>
      </c:valAx>
      <c:catAx>
        <c:axId val="510136344"/>
        <c:scaling>
          <c:orientation val="minMax"/>
        </c:scaling>
        <c:delete val="1"/>
        <c:axPos val="b"/>
        <c:numFmt formatCode="General" sourceLinked="1"/>
        <c:majorTickMark val="out"/>
        <c:minorTickMark val="none"/>
        <c:tickLblPos val="nextTo"/>
        <c:crossAx val="5101337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Revenue Split-:</a:t>
            </a:r>
            <a:br>
              <a:rPr lang="en-US"/>
            </a:br>
            <a:r>
              <a:rPr lang="en-US"/>
              <a:t>Product</a:t>
            </a:r>
            <a:r>
              <a:rPr lang="en-US" baseline="0"/>
              <a:t> segment</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1"/>
    </c:view3D>
    <c:floor>
      <c:thickness val="0"/>
      <c:spPr>
        <a:noFill/>
        <a:ln w="19050" cap="flat" cmpd="sng" algn="ctr">
          <a:solidFill>
            <a:schemeClr val="tx1">
              <a:lumMod val="25000"/>
              <a:lumOff val="75000"/>
            </a:schemeClr>
          </a:solidFill>
          <a:round/>
        </a:ln>
        <a:effectLst/>
        <a:sp3d contourW="19050">
          <a:contourClr>
            <a:schemeClr val="tx1">
              <a:lumMod val="25000"/>
              <a:lumOff val="75000"/>
            </a:schemeClr>
          </a:contourClr>
        </a:sp3d>
      </c:spPr>
    </c:floor>
    <c:sideWall>
      <c:thickness val="0"/>
      <c:spPr>
        <a:noFill/>
        <a:ln>
          <a:noFill/>
        </a:ln>
        <a:effectLst/>
        <a:sp3d/>
      </c:spPr>
    </c:sideWall>
    <c:backWall>
      <c:thickness val="0"/>
      <c:spPr>
        <a:noFill/>
        <a:ln>
          <a:noFill/>
        </a:ln>
        <a:effectLst/>
        <a:sp3d/>
      </c:spPr>
    </c:backWall>
    <c:plotArea>
      <c:layout/>
      <c:bar3DChart>
        <c:barDir val="col"/>
        <c:grouping val="percentStacked"/>
        <c:varyColors val="0"/>
        <c:ser>
          <c:idx val="0"/>
          <c:order val="0"/>
          <c:tx>
            <c:strRef>
              <c:f>'Business Summary'!$Z$117</c:f>
              <c:strCache>
                <c:ptCount val="1"/>
                <c:pt idx="0">
                  <c:v>Pet Care</c:v>
                </c:pt>
              </c:strCache>
            </c:strRef>
          </c:tx>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cat>
            <c:strRef>
              <c:f>'Business Summary'!$AA$116:$AE$116</c:f>
              <c:strCache>
                <c:ptCount val="5"/>
                <c:pt idx="0">
                  <c:v>2020</c:v>
                </c:pt>
                <c:pt idx="1">
                  <c:v>2021</c:v>
                </c:pt>
                <c:pt idx="2">
                  <c:v>2022</c:v>
                </c:pt>
                <c:pt idx="3">
                  <c:v>2023</c:v>
                </c:pt>
                <c:pt idx="4">
                  <c:v>2024</c:v>
                </c:pt>
              </c:strCache>
            </c:strRef>
          </c:cat>
          <c:val>
            <c:numRef>
              <c:f>'Business Summary'!$AA$117:$AE$117</c:f>
              <c:numCache>
                <c:formatCode>General</c:formatCode>
                <c:ptCount val="5"/>
                <c:pt idx="0">
                  <c:v>795</c:v>
                </c:pt>
                <c:pt idx="1">
                  <c:v>800</c:v>
                </c:pt>
                <c:pt idx="2">
                  <c:v>850</c:v>
                </c:pt>
                <c:pt idx="3">
                  <c:v>900</c:v>
                </c:pt>
                <c:pt idx="4">
                  <c:v>950</c:v>
                </c:pt>
              </c:numCache>
            </c:numRef>
          </c:val>
          <c:extLst>
            <c:ext xmlns:c16="http://schemas.microsoft.com/office/drawing/2014/chart" uri="{C3380CC4-5D6E-409C-BE32-E72D297353CC}">
              <c16:uniqueId val="{00000000-B6C3-4C09-B85D-FAC0B91F0D3B}"/>
            </c:ext>
          </c:extLst>
        </c:ser>
        <c:ser>
          <c:idx val="1"/>
          <c:order val="1"/>
          <c:tx>
            <c:strRef>
              <c:f>'Business Summary'!$Z$118</c:f>
              <c:strCache>
                <c:ptCount val="1"/>
                <c:pt idx="0">
                  <c:v>Home Care</c:v>
                </c:pt>
              </c:strCache>
            </c:strRef>
          </c:tx>
          <c:spPr>
            <a:pattFill prst="ltDnDiag">
              <a:fgClr>
                <a:schemeClr val="accent2"/>
              </a:fgClr>
              <a:bgClr>
                <a:schemeClr val="accent2">
                  <a:lumMod val="20000"/>
                  <a:lumOff val="80000"/>
                </a:schemeClr>
              </a:bgClr>
            </a:pattFill>
            <a:ln>
              <a:solidFill>
                <a:schemeClr val="accent2"/>
              </a:solidFill>
            </a:ln>
            <a:effectLst/>
            <a:sp3d>
              <a:contourClr>
                <a:schemeClr val="accent2"/>
              </a:contourClr>
            </a:sp3d>
          </c:spPr>
          <c:invertIfNegative val="0"/>
          <c:cat>
            <c:strRef>
              <c:f>'Business Summary'!$AA$116:$AE$116</c:f>
              <c:strCache>
                <c:ptCount val="5"/>
                <c:pt idx="0">
                  <c:v>2020</c:v>
                </c:pt>
                <c:pt idx="1">
                  <c:v>2021</c:v>
                </c:pt>
                <c:pt idx="2">
                  <c:v>2022</c:v>
                </c:pt>
                <c:pt idx="3">
                  <c:v>2023</c:v>
                </c:pt>
                <c:pt idx="4">
                  <c:v>2024</c:v>
                </c:pt>
              </c:strCache>
            </c:strRef>
          </c:cat>
          <c:val>
            <c:numRef>
              <c:f>'Business Summary'!$AA$118:$AE$118</c:f>
              <c:numCache>
                <c:formatCode>General</c:formatCode>
                <c:ptCount val="5"/>
                <c:pt idx="0">
                  <c:v>795</c:v>
                </c:pt>
                <c:pt idx="1">
                  <c:v>800</c:v>
                </c:pt>
                <c:pt idx="2">
                  <c:v>850</c:v>
                </c:pt>
                <c:pt idx="3">
                  <c:v>900</c:v>
                </c:pt>
                <c:pt idx="4">
                  <c:v>950</c:v>
                </c:pt>
              </c:numCache>
            </c:numRef>
          </c:val>
          <c:extLst>
            <c:ext xmlns:c16="http://schemas.microsoft.com/office/drawing/2014/chart" uri="{C3380CC4-5D6E-409C-BE32-E72D297353CC}">
              <c16:uniqueId val="{00000001-B6C3-4C09-B85D-FAC0B91F0D3B}"/>
            </c:ext>
          </c:extLst>
        </c:ser>
        <c:ser>
          <c:idx val="2"/>
          <c:order val="2"/>
          <c:tx>
            <c:strRef>
              <c:f>'Business Summary'!$Z$119</c:f>
              <c:strCache>
                <c:ptCount val="1"/>
                <c:pt idx="0">
                  <c:v>Personal Care </c:v>
                </c:pt>
              </c:strCache>
            </c:strRef>
          </c:tx>
          <c:spPr>
            <a:pattFill prst="ltDnDiag">
              <a:fgClr>
                <a:schemeClr val="accent3"/>
              </a:fgClr>
              <a:bgClr>
                <a:schemeClr val="accent3">
                  <a:lumMod val="20000"/>
                  <a:lumOff val="80000"/>
                </a:schemeClr>
              </a:bgClr>
            </a:pattFill>
            <a:ln>
              <a:solidFill>
                <a:schemeClr val="accent3"/>
              </a:solidFill>
            </a:ln>
            <a:effectLst/>
            <a:sp3d>
              <a:contourClr>
                <a:schemeClr val="accent3"/>
              </a:contourClr>
            </a:sp3d>
          </c:spPr>
          <c:invertIfNegative val="0"/>
          <c:cat>
            <c:strRef>
              <c:f>'Business Summary'!$AA$116:$AE$116</c:f>
              <c:strCache>
                <c:ptCount val="5"/>
                <c:pt idx="0">
                  <c:v>2020</c:v>
                </c:pt>
                <c:pt idx="1">
                  <c:v>2021</c:v>
                </c:pt>
                <c:pt idx="2">
                  <c:v>2022</c:v>
                </c:pt>
                <c:pt idx="3">
                  <c:v>2023</c:v>
                </c:pt>
                <c:pt idx="4">
                  <c:v>2024</c:v>
                </c:pt>
              </c:strCache>
            </c:strRef>
          </c:cat>
          <c:val>
            <c:numRef>
              <c:f>'Business Summary'!$AA$119:$AE$119</c:f>
              <c:numCache>
                <c:formatCode>General</c:formatCode>
                <c:ptCount val="5"/>
                <c:pt idx="0">
                  <c:v>882</c:v>
                </c:pt>
                <c:pt idx="1">
                  <c:v>900</c:v>
                </c:pt>
                <c:pt idx="2">
                  <c:v>950</c:v>
                </c:pt>
                <c:pt idx="3">
                  <c:v>1000</c:v>
                </c:pt>
                <c:pt idx="4">
                  <c:v>1050</c:v>
                </c:pt>
              </c:numCache>
            </c:numRef>
          </c:val>
          <c:extLst>
            <c:ext xmlns:c16="http://schemas.microsoft.com/office/drawing/2014/chart" uri="{C3380CC4-5D6E-409C-BE32-E72D297353CC}">
              <c16:uniqueId val="{00000002-B6C3-4C09-B85D-FAC0B91F0D3B}"/>
            </c:ext>
          </c:extLst>
        </c:ser>
        <c:ser>
          <c:idx val="3"/>
          <c:order val="3"/>
          <c:tx>
            <c:strRef>
              <c:f>'Business Summary'!$Z$120</c:f>
              <c:strCache>
                <c:ptCount val="1"/>
                <c:pt idx="0">
                  <c:v>Oral Care</c:v>
                </c:pt>
              </c:strCache>
            </c:strRef>
          </c:tx>
          <c:spPr>
            <a:pattFill prst="ltDnDiag">
              <a:fgClr>
                <a:schemeClr val="accent4"/>
              </a:fgClr>
              <a:bgClr>
                <a:schemeClr val="accent4">
                  <a:lumMod val="20000"/>
                  <a:lumOff val="80000"/>
                </a:schemeClr>
              </a:bgClr>
            </a:pattFill>
            <a:ln>
              <a:solidFill>
                <a:schemeClr val="accent4"/>
              </a:solidFill>
            </a:ln>
            <a:effectLst/>
            <a:sp3d>
              <a:contourClr>
                <a:schemeClr val="accent4"/>
              </a:contourClr>
            </a:sp3d>
          </c:spPr>
          <c:invertIfNegative val="0"/>
          <c:cat>
            <c:strRef>
              <c:f>'Business Summary'!$AA$116:$AE$116</c:f>
              <c:strCache>
                <c:ptCount val="5"/>
                <c:pt idx="0">
                  <c:v>2020</c:v>
                </c:pt>
                <c:pt idx="1">
                  <c:v>2021</c:v>
                </c:pt>
                <c:pt idx="2">
                  <c:v>2022</c:v>
                </c:pt>
                <c:pt idx="3">
                  <c:v>2023</c:v>
                </c:pt>
                <c:pt idx="4">
                  <c:v>2024</c:v>
                </c:pt>
              </c:strCache>
            </c:strRef>
          </c:cat>
          <c:val>
            <c:numRef>
              <c:f>'Business Summary'!$AA$120:$AE$120</c:f>
              <c:numCache>
                <c:formatCode>General</c:formatCode>
                <c:ptCount val="5"/>
                <c:pt idx="0">
                  <c:v>1942</c:v>
                </c:pt>
                <c:pt idx="1">
                  <c:v>2000</c:v>
                </c:pt>
                <c:pt idx="2">
                  <c:v>2100</c:v>
                </c:pt>
                <c:pt idx="3">
                  <c:v>2200</c:v>
                </c:pt>
                <c:pt idx="4">
                  <c:v>2300</c:v>
                </c:pt>
              </c:numCache>
            </c:numRef>
          </c:val>
          <c:extLst>
            <c:ext xmlns:c16="http://schemas.microsoft.com/office/drawing/2014/chart" uri="{C3380CC4-5D6E-409C-BE32-E72D297353CC}">
              <c16:uniqueId val="{00000003-B6C3-4C09-B85D-FAC0B91F0D3B}"/>
            </c:ext>
          </c:extLst>
        </c:ser>
        <c:dLbls>
          <c:showLegendKey val="0"/>
          <c:showVal val="0"/>
          <c:showCatName val="0"/>
          <c:showSerName val="0"/>
          <c:showPercent val="0"/>
          <c:showBubbleSize val="0"/>
        </c:dLbls>
        <c:gapWidth val="150"/>
        <c:shape val="box"/>
        <c:axId val="448778976"/>
        <c:axId val="448771760"/>
        <c:axId val="0"/>
      </c:bar3DChart>
      <c:catAx>
        <c:axId val="44877897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8771760"/>
        <c:crosses val="autoZero"/>
        <c:auto val="1"/>
        <c:lblAlgn val="ctr"/>
        <c:lblOffset val="100"/>
        <c:noMultiLvlLbl val="0"/>
      </c:catAx>
      <c:valAx>
        <c:axId val="448771760"/>
        <c:scaling>
          <c:orientation val="minMax"/>
        </c:scaling>
        <c:delete val="0"/>
        <c:axPos val="l"/>
        <c:majorGridlines>
          <c:spPr>
            <a:ln>
              <a:solidFill>
                <a:schemeClr val="tx1">
                  <a:lumMod val="15000"/>
                  <a:lumOff val="85000"/>
                </a:schemeClr>
              </a:solidFill>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87789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IN"/>
              <a:t>Operating profit margin by Region</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doughnutChart>
        <c:varyColors val="1"/>
        <c:ser>
          <c:idx val="0"/>
          <c:order val="0"/>
          <c:tx>
            <c:strRef>
              <c:f>'Business Summary'!$Z$136</c:f>
              <c:strCache>
                <c:ptCount val="1"/>
                <c:pt idx="0">
                  <c:v>Operating profit margin</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40B-4811-95A1-F5E13211DF32}"/>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840B-4811-95A1-F5E13211DF32}"/>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840B-4811-95A1-F5E13211DF32}"/>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840B-4811-95A1-F5E13211DF32}"/>
              </c:ext>
            </c:extLst>
          </c:dPt>
          <c:dPt>
            <c:idx val="4"/>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840B-4811-95A1-F5E13211DF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'Business Summary'!$Y$137:$Y$141</c:f>
              <c:strCache>
                <c:ptCount val="5"/>
                <c:pt idx="0">
                  <c:v>North America</c:v>
                </c:pt>
                <c:pt idx="1">
                  <c:v>Latin America</c:v>
                </c:pt>
                <c:pt idx="2">
                  <c:v>Asia Pacific</c:v>
                </c:pt>
                <c:pt idx="3">
                  <c:v>Europe</c:v>
                </c:pt>
                <c:pt idx="4">
                  <c:v>Africa</c:v>
                </c:pt>
              </c:strCache>
            </c:strRef>
          </c:cat>
          <c:val>
            <c:numRef>
              <c:f>'Business Summary'!$Z$137:$Z$141</c:f>
              <c:numCache>
                <c:formatCode>General</c:formatCode>
                <c:ptCount val="5"/>
                <c:pt idx="0">
                  <c:v>22.7</c:v>
                </c:pt>
                <c:pt idx="1">
                  <c:v>30.5</c:v>
                </c:pt>
                <c:pt idx="2">
                  <c:v>20.2</c:v>
                </c:pt>
                <c:pt idx="3">
                  <c:v>27.6</c:v>
                </c:pt>
                <c:pt idx="4">
                  <c:v>23.5</c:v>
                </c:pt>
              </c:numCache>
            </c:numRef>
          </c:val>
          <c:extLst>
            <c:ext xmlns:c16="http://schemas.microsoft.com/office/drawing/2014/chart" uri="{C3380CC4-5D6E-409C-BE32-E72D297353CC}">
              <c16:uniqueId val="{00000000-3B5F-4A26-BF90-3D308E8FFB31}"/>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Net Sales</a:t>
            </a:r>
            <a:r>
              <a:rPr lang="en-US" baseline="0"/>
              <a:t> </a:t>
            </a:r>
            <a:r>
              <a:rPr lang="en-US" sz="1800"/>
              <a:t>2024</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pieChart>
        <c:varyColors val="1"/>
        <c:ser>
          <c:idx val="0"/>
          <c:order val="0"/>
          <c:tx>
            <c:strRef>
              <c:f>'Business Summary'!$Z$89</c:f>
              <c:strCache>
                <c:ptCount val="1"/>
                <c:pt idx="0">
                  <c:v>Net Sales</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A1F-44A3-AA69-E693D4F8BE6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8A1F-44A3-AA69-E693D4F8BE6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8A1F-44A3-AA69-E693D4F8BE69}"/>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8A1F-44A3-AA69-E693D4F8BE69}"/>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8A1F-44A3-AA69-E693D4F8BE69}"/>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8A1F-44A3-AA69-E693D4F8BE6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'Business Summary'!$Y$90:$Y$95</c:f>
              <c:strCache>
                <c:ptCount val="6"/>
                <c:pt idx="0">
                  <c:v>North America</c:v>
                </c:pt>
                <c:pt idx="1">
                  <c:v>Latin America</c:v>
                </c:pt>
                <c:pt idx="2">
                  <c:v>Asia Pacific</c:v>
                </c:pt>
                <c:pt idx="3">
                  <c:v>Europe</c:v>
                </c:pt>
                <c:pt idx="4">
                  <c:v>Africa</c:v>
                </c:pt>
                <c:pt idx="5">
                  <c:v>Hills pet nutrition</c:v>
                </c:pt>
              </c:strCache>
            </c:strRef>
          </c:cat>
          <c:val>
            <c:numRef>
              <c:f>'Business Summary'!$Z$90:$Z$95</c:f>
              <c:numCache>
                <c:formatCode>0%</c:formatCode>
                <c:ptCount val="6"/>
                <c:pt idx="0">
                  <c:v>0.20499999999999999</c:v>
                </c:pt>
                <c:pt idx="1">
                  <c:v>0.23799999999999999</c:v>
                </c:pt>
                <c:pt idx="2">
                  <c:v>0.13800000000000001</c:v>
                </c:pt>
                <c:pt idx="3">
                  <c:v>0.14199999999999999</c:v>
                </c:pt>
                <c:pt idx="4">
                  <c:v>9.4E-2</c:v>
                </c:pt>
                <c:pt idx="5">
                  <c:v>0.223</c:v>
                </c:pt>
              </c:numCache>
            </c:numRef>
          </c:val>
          <c:extLst>
            <c:ext xmlns:c16="http://schemas.microsoft.com/office/drawing/2014/chart" uri="{C3380CC4-5D6E-409C-BE32-E72D297353CC}">
              <c16:uniqueId val="{00000000-79BE-4F2A-8C96-E59C32EB7FF1}"/>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0"/>
          <c:tx>
            <c:strRef>
              <c:f>'Football Field Analysis'!$D$11</c:f>
              <c:strCache>
                <c:ptCount val="1"/>
                <c:pt idx="0">
                  <c:v>Valuation - High</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Analysis'!$B$12</c:f>
              <c:strCache>
                <c:ptCount val="1"/>
                <c:pt idx="0">
                  <c:v>DCF - Gordon Growth</c:v>
                </c:pt>
              </c:strCache>
            </c:strRef>
          </c:cat>
          <c:val>
            <c:numRef>
              <c:extLst>
                <c:ext xmlns:c15="http://schemas.microsoft.com/office/drawing/2012/chart" uri="{02D57815-91ED-43cb-92C2-25804820EDAC}">
                  <c15:fullRef>
                    <c15:sqref>'Football Field Analysis'!$D$12:$D$14</c15:sqref>
                  </c15:fullRef>
                </c:ext>
              </c:extLst>
              <c:f>'Football Field Analysis'!$D$12</c:f>
              <c:numCache>
                <c:formatCode>#,##0</c:formatCode>
                <c:ptCount val="1"/>
                <c:pt idx="0">
                  <c:v>235290.00000000003</c:v>
                </c:pt>
              </c:numCache>
            </c:numRef>
          </c:val>
          <c:extLst>
            <c:ext xmlns:c16="http://schemas.microsoft.com/office/drawing/2014/chart" uri="{C3380CC4-5D6E-409C-BE32-E72D297353CC}">
              <c16:uniqueId val="{00000001-EFB5-4EC4-9F07-7275906F79E3}"/>
            </c:ext>
          </c:extLst>
        </c:ser>
        <c:ser>
          <c:idx val="3"/>
          <c:order val="1"/>
          <c:tx>
            <c:strRef>
              <c:f>'Football Field Analysis'!$F$11</c:f>
              <c:strCache>
                <c:ptCount val="1"/>
                <c:pt idx="0">
                  <c:v>Difference</c:v>
                </c:pt>
              </c:strCache>
            </c:strRef>
          </c:tx>
          <c:spPr>
            <a:solidFill>
              <a:srgbClr val="FF0000"/>
            </a:solidFill>
            <a:ln>
              <a:noFill/>
            </a:ln>
            <a:effectLst/>
          </c:spPr>
          <c:invertIfNegative val="0"/>
          <c:cat>
            <c:strRef>
              <c:extLst>
                <c:ext xmlns:c15="http://schemas.microsoft.com/office/drawing/2012/chart" uri="{02D57815-91ED-43cb-92C2-25804820EDAC}">
                  <c15:fullRef>
                    <c15:sqref>'Football Field Analysis'!$B$12:$B$14</c15:sqref>
                  </c15:fullRef>
                </c:ext>
              </c:extLst>
              <c:f>'Football Field Analysis'!$B$12</c:f>
              <c:strCache>
                <c:ptCount val="1"/>
                <c:pt idx="0">
                  <c:v>DCF - Gordon Growth</c:v>
                </c:pt>
              </c:strCache>
            </c:strRef>
          </c:cat>
          <c:val>
            <c:numRef>
              <c:extLst>
                <c:ext xmlns:c15="http://schemas.microsoft.com/office/drawing/2012/chart" uri="{02D57815-91ED-43cb-92C2-25804820EDAC}">
                  <c15:fullRef>
                    <c15:sqref>'Football Field Analysis'!$F$12:$F$14</c15:sqref>
                  </c15:fullRef>
                </c:ext>
              </c:extLst>
              <c:f>'Football Field Analysis'!$F$12</c:f>
              <c:numCache>
                <c:formatCode>#,##0</c:formatCode>
                <c:ptCount val="1"/>
                <c:pt idx="0">
                  <c:v>42780.000000000029</c:v>
                </c:pt>
              </c:numCache>
            </c:numRef>
          </c:val>
          <c:extLst>
            <c:ext xmlns:c16="http://schemas.microsoft.com/office/drawing/2014/chart" uri="{C3380CC4-5D6E-409C-BE32-E72D297353CC}">
              <c16:uniqueId val="{00000004-EFB5-4EC4-9F07-7275906F79E3}"/>
            </c:ext>
          </c:extLst>
        </c:ser>
        <c:ser>
          <c:idx val="2"/>
          <c:order val="2"/>
          <c:tx>
            <c:strRef>
              <c:f>'Football Field Analysis'!$E$11</c:f>
              <c:strCache>
                <c:ptCount val="1"/>
                <c:pt idx="0">
                  <c:v>Valuation - Low</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Analysis'!$B$12</c:f>
              <c:strCache>
                <c:ptCount val="1"/>
                <c:pt idx="0">
                  <c:v>DCF - Gordon Growth</c:v>
                </c:pt>
              </c:strCache>
            </c:strRef>
          </c:cat>
          <c:val>
            <c:numRef>
              <c:extLst>
                <c:ext xmlns:c15="http://schemas.microsoft.com/office/drawing/2012/chart" uri="{02D57815-91ED-43cb-92C2-25804820EDAC}">
                  <c15:fullRef>
                    <c15:sqref>'Football Field Analysis'!$E$12:$E$14</c15:sqref>
                  </c15:fullRef>
                </c:ext>
              </c:extLst>
              <c:f>'Football Field Analysis'!$E$12</c:f>
              <c:numCache>
                <c:formatCode>#,##0</c:formatCode>
                <c:ptCount val="1"/>
                <c:pt idx="0">
                  <c:v>192510</c:v>
                </c:pt>
              </c:numCache>
            </c:numRef>
          </c:val>
          <c:extLst>
            <c:ext xmlns:c16="http://schemas.microsoft.com/office/drawing/2014/chart" uri="{C3380CC4-5D6E-409C-BE32-E72D297353CC}">
              <c16:uniqueId val="{00000002-EFB5-4EC4-9F07-7275906F79E3}"/>
            </c:ext>
          </c:extLst>
        </c:ser>
        <c:dLbls>
          <c:showLegendKey val="0"/>
          <c:showVal val="0"/>
          <c:showCatName val="0"/>
          <c:showSerName val="0"/>
          <c:showPercent val="0"/>
          <c:showBubbleSize val="0"/>
        </c:dLbls>
        <c:gapWidth val="150"/>
        <c:overlap val="100"/>
        <c:axId val="200578912"/>
        <c:axId val="200593792"/>
      </c:barChart>
      <c:catAx>
        <c:axId val="200578912"/>
        <c:scaling>
          <c:orientation val="minMax"/>
        </c:scaling>
        <c:delete val="0"/>
        <c:axPos val="l"/>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200593792"/>
        <c:crosses val="autoZero"/>
        <c:auto val="1"/>
        <c:lblAlgn val="ctr"/>
        <c:lblOffset val="100"/>
        <c:noMultiLvlLbl val="0"/>
      </c:catAx>
      <c:valAx>
        <c:axId val="200593792"/>
        <c:scaling>
          <c:orientation val="minMax"/>
        </c:scaling>
        <c:delete val="1"/>
        <c:axPos val="b"/>
        <c:numFmt formatCode="#,##0" sourceLinked="1"/>
        <c:majorTickMark val="none"/>
        <c:minorTickMark val="none"/>
        <c:tickLblPos val="nextTo"/>
        <c:crossAx val="200578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0"/>
          <c:tx>
            <c:strRef>
              <c:f>'Football Field Analysis'!$D$11</c:f>
              <c:strCache>
                <c:ptCount val="1"/>
                <c:pt idx="0">
                  <c:v>Valuation - High</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Analysis'!$B$13</c:f>
              <c:strCache>
                <c:ptCount val="1"/>
                <c:pt idx="0">
                  <c:v>GPC - 2024 EBITDA</c:v>
                </c:pt>
              </c:strCache>
            </c:strRef>
          </c:cat>
          <c:val>
            <c:numRef>
              <c:extLst>
                <c:ext xmlns:c15="http://schemas.microsoft.com/office/drawing/2012/chart" uri="{02D57815-91ED-43cb-92C2-25804820EDAC}">
                  <c15:fullRef>
                    <c15:sqref>'Football Field Analysis'!$D$12:$D$14</c15:sqref>
                  </c15:fullRef>
                </c:ext>
              </c:extLst>
              <c:f>'Football Field Analysis'!$D$13</c:f>
              <c:numCache>
                <c:formatCode>#,##0</c:formatCode>
                <c:ptCount val="1"/>
                <c:pt idx="0">
                  <c:v>150590</c:v>
                </c:pt>
              </c:numCache>
            </c:numRef>
          </c:val>
          <c:extLst>
            <c:ext xmlns:c16="http://schemas.microsoft.com/office/drawing/2014/chart" uri="{C3380CC4-5D6E-409C-BE32-E72D297353CC}">
              <c16:uniqueId val="{00000000-D1F5-4065-8667-5739B20B8F05}"/>
            </c:ext>
          </c:extLst>
        </c:ser>
        <c:ser>
          <c:idx val="3"/>
          <c:order val="1"/>
          <c:tx>
            <c:strRef>
              <c:f>'Football Field Analysis'!$F$11</c:f>
              <c:strCache>
                <c:ptCount val="1"/>
                <c:pt idx="0">
                  <c:v>Difference</c:v>
                </c:pt>
              </c:strCache>
            </c:strRef>
          </c:tx>
          <c:spPr>
            <a:solidFill>
              <a:srgbClr val="FF0000"/>
            </a:solidFill>
            <a:ln>
              <a:noFill/>
            </a:ln>
            <a:effectLst/>
          </c:spPr>
          <c:invertIfNegative val="0"/>
          <c:cat>
            <c:strRef>
              <c:extLst>
                <c:ext xmlns:c15="http://schemas.microsoft.com/office/drawing/2012/chart" uri="{02D57815-91ED-43cb-92C2-25804820EDAC}">
                  <c15:fullRef>
                    <c15:sqref>'Football Field Analysis'!$B$12:$B$14</c15:sqref>
                  </c15:fullRef>
                </c:ext>
              </c:extLst>
              <c:f>'Football Field Analysis'!$B$13</c:f>
              <c:strCache>
                <c:ptCount val="1"/>
                <c:pt idx="0">
                  <c:v>GPC - 2024 EBITDA</c:v>
                </c:pt>
              </c:strCache>
            </c:strRef>
          </c:cat>
          <c:val>
            <c:numRef>
              <c:extLst>
                <c:ext xmlns:c15="http://schemas.microsoft.com/office/drawing/2012/chart" uri="{02D57815-91ED-43cb-92C2-25804820EDAC}">
                  <c15:fullRef>
                    <c15:sqref>'Football Field Analysis'!$F$12:$F$14</c15:sqref>
                  </c15:fullRef>
                </c:ext>
              </c:extLst>
              <c:f>'Football Field Analysis'!$F$13</c:f>
              <c:numCache>
                <c:formatCode>#,##0</c:formatCode>
                <c:ptCount val="1"/>
                <c:pt idx="0">
                  <c:v>27380</c:v>
                </c:pt>
              </c:numCache>
            </c:numRef>
          </c:val>
          <c:extLst>
            <c:ext xmlns:c16="http://schemas.microsoft.com/office/drawing/2014/chart" uri="{C3380CC4-5D6E-409C-BE32-E72D297353CC}">
              <c16:uniqueId val="{00000001-D1F5-4065-8667-5739B20B8F05}"/>
            </c:ext>
          </c:extLst>
        </c:ser>
        <c:ser>
          <c:idx val="2"/>
          <c:order val="2"/>
          <c:tx>
            <c:strRef>
              <c:f>'Football Field Analysis'!$E$11</c:f>
              <c:strCache>
                <c:ptCount val="1"/>
                <c:pt idx="0">
                  <c:v>Valuation - Low</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'Football Field Analysis'!$B$12:$B$14</c15:sqref>
                  </c15:fullRef>
                </c:ext>
              </c:extLst>
              <c:f>'Football Field Analysis'!$B$13</c:f>
              <c:strCache>
                <c:ptCount val="1"/>
                <c:pt idx="0">
                  <c:v>GPC - 2024 EBITDA</c:v>
                </c:pt>
              </c:strCache>
            </c:strRef>
          </c:cat>
          <c:val>
            <c:numRef>
              <c:extLst>
                <c:ext xmlns:c15="http://schemas.microsoft.com/office/drawing/2012/chart" uri="{02D57815-91ED-43cb-92C2-25804820EDAC}">
                  <c15:fullRef>
                    <c15:sqref>'Football Field Analysis'!$E$12:$E$14</c15:sqref>
                  </c15:fullRef>
                </c:ext>
              </c:extLst>
              <c:f>'Football Field Analysis'!$E$13</c:f>
              <c:numCache>
                <c:formatCode>#,##0</c:formatCode>
                <c:ptCount val="1"/>
                <c:pt idx="0">
                  <c:v>123210</c:v>
                </c:pt>
              </c:numCache>
            </c:numRef>
          </c:val>
          <c:extLst>
            <c:ext xmlns:c16="http://schemas.microsoft.com/office/drawing/2014/chart" uri="{C3380CC4-5D6E-409C-BE32-E72D297353CC}">
              <c16:uniqueId val="{00000002-D1F5-4065-8667-5739B20B8F05}"/>
            </c:ext>
          </c:extLst>
        </c:ser>
        <c:dLbls>
          <c:showLegendKey val="0"/>
          <c:showVal val="0"/>
          <c:showCatName val="0"/>
          <c:showSerName val="0"/>
          <c:showPercent val="0"/>
          <c:showBubbleSize val="0"/>
        </c:dLbls>
        <c:gapWidth val="150"/>
        <c:overlap val="100"/>
        <c:axId val="200578912"/>
        <c:axId val="200593792"/>
      </c:barChart>
      <c:catAx>
        <c:axId val="200578912"/>
        <c:scaling>
          <c:orientation val="minMax"/>
        </c:scaling>
        <c:delete val="0"/>
        <c:axPos val="l"/>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200593792"/>
        <c:crosses val="autoZero"/>
        <c:auto val="1"/>
        <c:lblAlgn val="ctr"/>
        <c:lblOffset val="100"/>
        <c:noMultiLvlLbl val="0"/>
      </c:catAx>
      <c:valAx>
        <c:axId val="200593792"/>
        <c:scaling>
          <c:orientation val="minMax"/>
        </c:scaling>
        <c:delete val="1"/>
        <c:axPos val="b"/>
        <c:numFmt formatCode="#,##0" sourceLinked="1"/>
        <c:majorTickMark val="none"/>
        <c:minorTickMark val="none"/>
        <c:tickLblPos val="nextTo"/>
        <c:crossAx val="200578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19.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chart" Target="../charts/chart11.xml"/><Relationship Id="rId1" Type="http://schemas.openxmlformats.org/officeDocument/2006/relationships/image" Target="../media/image12.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2.xml.rels><?xml version="1.0" encoding="UTF-8" standalone="yes"?>
<Relationships xmlns="http://schemas.openxmlformats.org/package/2006/relationships"><Relationship Id="rId8" Type="http://schemas.openxmlformats.org/officeDocument/2006/relationships/hyperlink" Target="#'Equity Schedule'!A1"/><Relationship Id="rId13" Type="http://schemas.openxmlformats.org/officeDocument/2006/relationships/hyperlink" Target="#'Business Summary'!Print_Area"/><Relationship Id="rId18" Type="http://schemas.openxmlformats.org/officeDocument/2006/relationships/hyperlink" Target="#'Assumptions&gt;&gt;'!A1"/><Relationship Id="rId26" Type="http://schemas.openxmlformats.org/officeDocument/2006/relationships/hyperlink" Target="#BS!A1"/><Relationship Id="rId3" Type="http://schemas.openxmlformats.org/officeDocument/2006/relationships/hyperlink" Target="#IS!A7"/><Relationship Id="rId21" Type="http://schemas.openxmlformats.org/officeDocument/2006/relationships/hyperlink" Target="#'FS Summary'!A10"/><Relationship Id="rId34" Type="http://schemas.openxmlformats.org/officeDocument/2006/relationships/hyperlink" Target="#'Risk Free Rate'!A1"/><Relationship Id="rId7" Type="http://schemas.openxmlformats.org/officeDocument/2006/relationships/hyperlink" Target="#'BS Assumptions '!A7"/><Relationship Id="rId12" Type="http://schemas.openxmlformats.org/officeDocument/2006/relationships/hyperlink" Target="#'Risk Free Rate'!A7"/><Relationship Id="rId17" Type="http://schemas.openxmlformats.org/officeDocument/2006/relationships/hyperlink" Target="#'Income Approach'!A1"/><Relationship Id="rId25" Type="http://schemas.openxmlformats.org/officeDocument/2006/relationships/hyperlink" Target="#IS!A1"/><Relationship Id="rId33" Type="http://schemas.openxmlformats.org/officeDocument/2006/relationships/hyperlink" Target="#Beta!A1"/><Relationship Id="rId2" Type="http://schemas.openxmlformats.org/officeDocument/2006/relationships/image" Target="../media/image3.jpeg"/><Relationship Id="rId16" Type="http://schemas.openxmlformats.org/officeDocument/2006/relationships/hyperlink" Target="#'Market Approach'!A10"/><Relationship Id="rId20" Type="http://schemas.openxmlformats.org/officeDocument/2006/relationships/hyperlink" Target="#'Key Ratios'!A10"/><Relationship Id="rId29" Type="http://schemas.openxmlformats.org/officeDocument/2006/relationships/hyperlink" Target="#'IS Assumptions'!A1"/><Relationship Id="rId1" Type="http://schemas.openxmlformats.org/officeDocument/2006/relationships/hyperlink" Target="#'Business Summary'!A7"/><Relationship Id="rId6" Type="http://schemas.openxmlformats.org/officeDocument/2006/relationships/hyperlink" Target="#'IS Assumptions'!A7"/><Relationship Id="rId11" Type="http://schemas.openxmlformats.org/officeDocument/2006/relationships/hyperlink" Target="#Beta!A7"/><Relationship Id="rId24" Type="http://schemas.openxmlformats.org/officeDocument/2006/relationships/hyperlink" Target="#NAV!A1"/><Relationship Id="rId32" Type="http://schemas.openxmlformats.org/officeDocument/2006/relationships/hyperlink" Target="#WACC!A1"/><Relationship Id="rId5" Type="http://schemas.openxmlformats.org/officeDocument/2006/relationships/hyperlink" Target="#CFS!A7"/><Relationship Id="rId15" Type="http://schemas.openxmlformats.org/officeDocument/2006/relationships/hyperlink" Target="#'Cost Approach'!A1"/><Relationship Id="rId23" Type="http://schemas.openxmlformats.org/officeDocument/2006/relationships/hyperlink" Target="#'Valuation Summary'!Print_Area"/><Relationship Id="rId28" Type="http://schemas.openxmlformats.org/officeDocument/2006/relationships/hyperlink" Target="#'BS Assumptions '!A1"/><Relationship Id="rId10" Type="http://schemas.openxmlformats.org/officeDocument/2006/relationships/hyperlink" Target="#WACC!A7"/><Relationship Id="rId19" Type="http://schemas.openxmlformats.org/officeDocument/2006/relationships/hyperlink" Target="#'Historical and Forecasted FS&gt;&gt;'!A1"/><Relationship Id="rId31" Type="http://schemas.openxmlformats.org/officeDocument/2006/relationships/hyperlink" Target="#DCF!A1"/><Relationship Id="rId4" Type="http://schemas.openxmlformats.org/officeDocument/2006/relationships/hyperlink" Target="#BS!A7"/><Relationship Id="rId9" Type="http://schemas.openxmlformats.org/officeDocument/2006/relationships/hyperlink" Target="#DCF!A7"/><Relationship Id="rId14" Type="http://schemas.openxmlformats.org/officeDocument/2006/relationships/hyperlink" Target="#Charts!A10"/><Relationship Id="rId22" Type="http://schemas.openxmlformats.org/officeDocument/2006/relationships/hyperlink" Target="#'Football Field Analysis'!A10"/><Relationship Id="rId27" Type="http://schemas.openxmlformats.org/officeDocument/2006/relationships/hyperlink" Target="#CFS!A1"/><Relationship Id="rId30" Type="http://schemas.openxmlformats.org/officeDocument/2006/relationships/hyperlink" Target="#'Debt Schedule'!A1"/><Relationship Id="rId35" Type="http://schemas.openxmlformats.org/officeDocument/2006/relationships/hyperlink" Target="#GP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chart" Target="../charts/chart24.xml"/><Relationship Id="rId3" Type="http://schemas.openxmlformats.org/officeDocument/2006/relationships/chart" Target="../charts/chart14.xml"/><Relationship Id="rId7" Type="http://schemas.openxmlformats.org/officeDocument/2006/relationships/chart" Target="../charts/chart18.xml"/><Relationship Id="rId12" Type="http://schemas.openxmlformats.org/officeDocument/2006/relationships/chart" Target="../charts/chart23.xml"/><Relationship Id="rId17" Type="http://schemas.openxmlformats.org/officeDocument/2006/relationships/image" Target="../media/image2.png"/><Relationship Id="rId2" Type="http://schemas.openxmlformats.org/officeDocument/2006/relationships/chart" Target="../charts/chart13.xml"/><Relationship Id="rId16" Type="http://schemas.openxmlformats.org/officeDocument/2006/relationships/image" Target="../media/image1.jpeg"/><Relationship Id="rId1" Type="http://schemas.openxmlformats.org/officeDocument/2006/relationships/chart" Target="../charts/chart12.xml"/><Relationship Id="rId6" Type="http://schemas.openxmlformats.org/officeDocument/2006/relationships/chart" Target="../charts/chart17.xml"/><Relationship Id="rId11" Type="http://schemas.openxmlformats.org/officeDocument/2006/relationships/chart" Target="../charts/chart22.xml"/><Relationship Id="rId5" Type="http://schemas.openxmlformats.org/officeDocument/2006/relationships/chart" Target="../charts/chart16.xml"/><Relationship Id="rId15" Type="http://schemas.openxmlformats.org/officeDocument/2006/relationships/hyperlink" Target="#Index!A1"/><Relationship Id="rId10" Type="http://schemas.openxmlformats.org/officeDocument/2006/relationships/chart" Target="../charts/chart21.xml"/><Relationship Id="rId4" Type="http://schemas.openxmlformats.org/officeDocument/2006/relationships/chart" Target="../charts/chart15.xml"/><Relationship Id="rId9" Type="http://schemas.openxmlformats.org/officeDocument/2006/relationships/chart" Target="../charts/chart20.xml"/><Relationship Id="rId14"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chart" Target="../charts/chart5.xml"/><Relationship Id="rId3" Type="http://schemas.openxmlformats.org/officeDocument/2006/relationships/chart" Target="../charts/chart3.xml"/><Relationship Id="rId7" Type="http://schemas.openxmlformats.org/officeDocument/2006/relationships/image" Target="../media/image6.png"/><Relationship Id="rId12"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dex!A1"/><Relationship Id="rId11" Type="http://schemas.openxmlformats.org/officeDocument/2006/relationships/image" Target="../media/image10.PNG"/><Relationship Id="rId5" Type="http://schemas.openxmlformats.org/officeDocument/2006/relationships/image" Target="../media/image5.png"/><Relationship Id="rId15" Type="http://schemas.openxmlformats.org/officeDocument/2006/relationships/chart" Target="../charts/chart7.xml"/><Relationship Id="rId10" Type="http://schemas.openxmlformats.org/officeDocument/2006/relationships/image" Target="../media/image9.PNG"/><Relationship Id="rId4" Type="http://schemas.openxmlformats.org/officeDocument/2006/relationships/image" Target="../media/image4.png"/><Relationship Id="rId9" Type="http://schemas.openxmlformats.org/officeDocument/2006/relationships/image" Target="../media/image8.PNG"/><Relationship Id="rId1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6.png"/><Relationship Id="rId4" Type="http://schemas.openxmlformats.org/officeDocument/2006/relationships/hyperlink" Target="#Index!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ex!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xdr:from>
      <xdr:col>0</xdr:col>
      <xdr:colOff>23812</xdr:colOff>
      <xdr:row>0</xdr:row>
      <xdr:rowOff>35719</xdr:rowOff>
    </xdr:from>
    <xdr:to>
      <xdr:col>16</xdr:col>
      <xdr:colOff>797718</xdr:colOff>
      <xdr:row>5</xdr:row>
      <xdr:rowOff>1178719</xdr:rowOff>
    </xdr:to>
    <xdr:sp macro="" textlink="">
      <xdr:nvSpPr>
        <xdr:cNvPr id="2" name="Rectangle 1">
          <a:extLst>
            <a:ext uri="{FF2B5EF4-FFF2-40B4-BE49-F238E27FC236}">
              <a16:creationId xmlns:a16="http://schemas.microsoft.com/office/drawing/2014/main" id="{DF1F2C3D-69A0-4C1A-8F7A-53A0953DAC9F}"/>
            </a:ext>
          </a:extLst>
        </xdr:cNvPr>
        <xdr:cNvSpPr/>
      </xdr:nvSpPr>
      <xdr:spPr>
        <a:xfrm>
          <a:off x="23812" y="35719"/>
          <a:ext cx="15287625" cy="2155031"/>
        </a:xfrm>
        <a:prstGeom prst="rect">
          <a:avLst/>
        </a:prstGeom>
        <a:blipFill>
          <a:blip xmlns:r="http://schemas.openxmlformats.org/officeDocument/2006/relationships" r:embed="rId1"/>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5</xdr:col>
      <xdr:colOff>142875</xdr:colOff>
      <xdr:row>2</xdr:row>
      <xdr:rowOff>9525</xdr:rowOff>
    </xdr:from>
    <xdr:ext cx="184731" cy="264560"/>
    <xdr:sp macro="" textlink="">
      <xdr:nvSpPr>
        <xdr:cNvPr id="3" name="TextBox 2">
          <a:extLst>
            <a:ext uri="{FF2B5EF4-FFF2-40B4-BE49-F238E27FC236}">
              <a16:creationId xmlns:a16="http://schemas.microsoft.com/office/drawing/2014/main" id="{16CE3963-5AF5-86AD-F397-819FB4A56EB6}"/>
            </a:ext>
          </a:extLst>
        </xdr:cNvPr>
        <xdr:cNvSpPr txBox="1"/>
      </xdr:nvSpPr>
      <xdr:spPr>
        <a:xfrm>
          <a:off x="2581275" y="7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IN" sz="1100"/>
        </a:p>
      </xdr:txBody>
    </xdr:sp>
    <xdr:clientData/>
  </xdr:oneCellAnchor>
  <xdr:oneCellAnchor>
    <xdr:from>
      <xdr:col>9</xdr:col>
      <xdr:colOff>425022</xdr:colOff>
      <xdr:row>4</xdr:row>
      <xdr:rowOff>170973</xdr:rowOff>
    </xdr:from>
    <xdr:ext cx="2980165" cy="530658"/>
    <xdr:sp macro="" textlink="">
      <xdr:nvSpPr>
        <xdr:cNvPr id="4" name="TextBox 3">
          <a:extLst>
            <a:ext uri="{FF2B5EF4-FFF2-40B4-BE49-F238E27FC236}">
              <a16:creationId xmlns:a16="http://schemas.microsoft.com/office/drawing/2014/main" id="{088CC5B0-87A9-89E9-FB65-3AD41612363C}"/>
            </a:ext>
          </a:extLst>
        </xdr:cNvPr>
        <xdr:cNvSpPr txBox="1"/>
      </xdr:nvSpPr>
      <xdr:spPr>
        <a:xfrm>
          <a:off x="6318616" y="932973"/>
          <a:ext cx="2980165"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IN" sz="2800" b="1">
              <a:solidFill>
                <a:sysClr val="windowText" lastClr="000000"/>
              </a:solidFill>
            </a:rPr>
            <a:t>FINANCIAL MODEL </a:t>
          </a:r>
        </a:p>
      </xdr:txBody>
    </xdr:sp>
    <xdr:clientData/>
  </xdr:oneCellAnchor>
  <xdr:twoCellAnchor editAs="oneCell">
    <xdr:from>
      <xdr:col>1</xdr:col>
      <xdr:colOff>-1</xdr:colOff>
      <xdr:row>0</xdr:row>
      <xdr:rowOff>166688</xdr:rowOff>
    </xdr:from>
    <xdr:to>
      <xdr:col>8</xdr:col>
      <xdr:colOff>23812</xdr:colOff>
      <xdr:row>5</xdr:row>
      <xdr:rowOff>1190625</xdr:rowOff>
    </xdr:to>
    <xdr:pic>
      <xdr:nvPicPr>
        <xdr:cNvPr id="7" name="Picture 6">
          <a:extLst>
            <a:ext uri="{FF2B5EF4-FFF2-40B4-BE49-F238E27FC236}">
              <a16:creationId xmlns:a16="http://schemas.microsoft.com/office/drawing/2014/main" id="{8EC4B021-8F2F-4022-9CD0-14B1FE58E8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062" y="166688"/>
          <a:ext cx="4941094" cy="20359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390525</xdr:colOff>
      <xdr:row>4</xdr:row>
      <xdr:rowOff>85725</xdr:rowOff>
    </xdr:from>
    <xdr:to>
      <xdr:col>12</xdr:col>
      <xdr:colOff>190500</xdr:colOff>
      <xdr:row>5</xdr:row>
      <xdr:rowOff>171450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B82EF9EE-CB52-4908-B326-575E8C93111A}"/>
            </a:ext>
          </a:extLst>
        </xdr:cNvPr>
        <xdr:cNvSpPr/>
      </xdr:nvSpPr>
      <xdr:spPr>
        <a:xfrm>
          <a:off x="10058400" y="809625"/>
          <a:ext cx="101917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406400</xdr:colOff>
      <xdr:row>3</xdr:row>
      <xdr:rowOff>139700</xdr:rowOff>
    </xdr:from>
    <xdr:to>
      <xdr:col>13</xdr:col>
      <xdr:colOff>3175</xdr:colOff>
      <xdr:row>6</xdr:row>
      <xdr:rowOff>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4EBE910-67B8-4D17-8746-F51E6ACC7CCD}"/>
            </a:ext>
          </a:extLst>
        </xdr:cNvPr>
        <xdr:cNvSpPr/>
      </xdr:nvSpPr>
      <xdr:spPr>
        <a:xfrm>
          <a:off x="9036050" y="711200"/>
          <a:ext cx="1082675" cy="431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A323F29C-C19E-4E44-9386-B50AE932CD9D}"/>
            </a:ext>
          </a:extLst>
        </xdr:cNvPr>
        <xdr:cNvSpPr/>
      </xdr:nvSpPr>
      <xdr:spPr>
        <a:xfrm>
          <a:off x="8905875" y="742950"/>
          <a:ext cx="11144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12" name="Rectangle 11">
          <a:extLst>
            <a:ext uri="{FF2B5EF4-FFF2-40B4-BE49-F238E27FC236}">
              <a16:creationId xmlns:a16="http://schemas.microsoft.com/office/drawing/2014/main" id="{C0270AD1-8D8C-45FC-B5B8-1075D6E29253}"/>
            </a:ext>
          </a:extLst>
        </xdr:cNvPr>
        <xdr:cNvSpPr/>
      </xdr:nvSpPr>
      <xdr:spPr>
        <a:xfrm>
          <a:off x="11906" y="23811"/>
          <a:ext cx="100393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3" name="TextBox 12">
          <a:extLst>
            <a:ext uri="{FF2B5EF4-FFF2-40B4-BE49-F238E27FC236}">
              <a16:creationId xmlns:a16="http://schemas.microsoft.com/office/drawing/2014/main" id="{B9E1952D-A186-46C9-BF96-4D63C1477AD7}"/>
            </a:ext>
          </a:extLst>
        </xdr:cNvPr>
        <xdr:cNvSpPr txBox="1"/>
      </xdr:nvSpPr>
      <xdr:spPr>
        <a:xfrm>
          <a:off x="617696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363E0833-5D85-4371-A366-6FF907C104F8}"/>
            </a:ext>
          </a:extLst>
        </xdr:cNvPr>
        <xdr:cNvSpPr/>
      </xdr:nvSpPr>
      <xdr:spPr>
        <a:xfrm>
          <a:off x="9044555" y="795873"/>
          <a:ext cx="10191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9526</xdr:colOff>
      <xdr:row>8</xdr:row>
      <xdr:rowOff>121444</xdr:rowOff>
    </xdr:to>
    <xdr:pic>
      <xdr:nvPicPr>
        <xdr:cNvPr id="15" name="Picture 14">
          <a:extLst>
            <a:ext uri="{FF2B5EF4-FFF2-40B4-BE49-F238E27FC236}">
              <a16:creationId xmlns:a16="http://schemas.microsoft.com/office/drawing/2014/main" id="{4877B4AF-06C4-4CB6-B573-02E3F6EAA7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523999"/>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6" name="Rectangle 15">
          <a:extLst>
            <a:ext uri="{FF2B5EF4-FFF2-40B4-BE49-F238E27FC236}">
              <a16:creationId xmlns:a16="http://schemas.microsoft.com/office/drawing/2014/main" id="{5DD7481A-1D7F-4767-979F-731BE6A5BF33}"/>
            </a:ext>
          </a:extLst>
        </xdr:cNvPr>
        <xdr:cNvSpPr/>
      </xdr:nvSpPr>
      <xdr:spPr>
        <a:xfrm>
          <a:off x="11906" y="23811"/>
          <a:ext cx="100393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7" name="TextBox 16">
          <a:extLst>
            <a:ext uri="{FF2B5EF4-FFF2-40B4-BE49-F238E27FC236}">
              <a16:creationId xmlns:a16="http://schemas.microsoft.com/office/drawing/2014/main" id="{691DC2DC-F7AA-4778-8C49-A7A0915DE3C7}"/>
            </a:ext>
          </a:extLst>
        </xdr:cNvPr>
        <xdr:cNvSpPr txBox="1"/>
      </xdr:nvSpPr>
      <xdr:spPr>
        <a:xfrm>
          <a:off x="617696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89F8BC55-7507-4ACB-98EE-C1745E8F29F4}"/>
            </a:ext>
          </a:extLst>
        </xdr:cNvPr>
        <xdr:cNvSpPr/>
      </xdr:nvSpPr>
      <xdr:spPr>
        <a:xfrm>
          <a:off x="9044555" y="795873"/>
          <a:ext cx="10191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9" name="Picture 18">
          <a:extLst>
            <a:ext uri="{FF2B5EF4-FFF2-40B4-BE49-F238E27FC236}">
              <a16:creationId xmlns:a16="http://schemas.microsoft.com/office/drawing/2014/main" id="{58C0B454-626C-4F2C-AD83-B88FCD8D97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0" name="Rectangle 19">
          <a:extLst>
            <a:ext uri="{FF2B5EF4-FFF2-40B4-BE49-F238E27FC236}">
              <a16:creationId xmlns:a16="http://schemas.microsoft.com/office/drawing/2014/main" id="{8529C85D-8338-4719-8A50-1F75997D53CC}"/>
            </a:ext>
          </a:extLst>
        </xdr:cNvPr>
        <xdr:cNvSpPr/>
      </xdr:nvSpPr>
      <xdr:spPr>
        <a:xfrm>
          <a:off x="11906" y="23811"/>
          <a:ext cx="100393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1" name="TextBox 20">
          <a:extLst>
            <a:ext uri="{FF2B5EF4-FFF2-40B4-BE49-F238E27FC236}">
              <a16:creationId xmlns:a16="http://schemas.microsoft.com/office/drawing/2014/main" id="{77E3EC9F-2DFE-473D-BC55-2B2A0D4AFF6D}"/>
            </a:ext>
          </a:extLst>
        </xdr:cNvPr>
        <xdr:cNvSpPr txBox="1"/>
      </xdr:nvSpPr>
      <xdr:spPr>
        <a:xfrm>
          <a:off x="617696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998A41CD-ECD7-4E62-9826-5AB7154048A5}"/>
            </a:ext>
          </a:extLst>
        </xdr:cNvPr>
        <xdr:cNvSpPr/>
      </xdr:nvSpPr>
      <xdr:spPr>
        <a:xfrm>
          <a:off x="9044555" y="795873"/>
          <a:ext cx="10191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9526</xdr:colOff>
      <xdr:row>8</xdr:row>
      <xdr:rowOff>121444</xdr:rowOff>
    </xdr:to>
    <xdr:pic>
      <xdr:nvPicPr>
        <xdr:cNvPr id="23" name="Picture 22">
          <a:extLst>
            <a:ext uri="{FF2B5EF4-FFF2-40B4-BE49-F238E27FC236}">
              <a16:creationId xmlns:a16="http://schemas.microsoft.com/office/drawing/2014/main" id="{4145418C-8875-408C-AD37-7BA9805DCF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523999"/>
        </a:xfrm>
        <a:prstGeom prst="rect">
          <a:avLst/>
        </a:prstGeom>
      </xdr:spPr>
    </xdr:pic>
    <xdr:clientData/>
  </xdr:twoCellAnchor>
  <xdr:twoCellAnchor>
    <xdr:from>
      <xdr:col>0</xdr:col>
      <xdr:colOff>11905</xdr:colOff>
      <xdr:row>0</xdr:row>
      <xdr:rowOff>23811</xdr:rowOff>
    </xdr:from>
    <xdr:to>
      <xdr:col>12</xdr:col>
      <xdr:colOff>250030</xdr:colOff>
      <xdr:row>8</xdr:row>
      <xdr:rowOff>23812</xdr:rowOff>
    </xdr:to>
    <xdr:sp macro="" textlink="">
      <xdr:nvSpPr>
        <xdr:cNvPr id="24" name="Rectangle 23">
          <a:extLst>
            <a:ext uri="{FF2B5EF4-FFF2-40B4-BE49-F238E27FC236}">
              <a16:creationId xmlns:a16="http://schemas.microsoft.com/office/drawing/2014/main" id="{C6C6B977-B44B-459C-BE1E-D901DC0A41CB}"/>
            </a:ext>
          </a:extLst>
        </xdr:cNvPr>
        <xdr:cNvSpPr/>
      </xdr:nvSpPr>
      <xdr:spPr>
        <a:xfrm>
          <a:off x="11905" y="23811"/>
          <a:ext cx="1008697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5" name="TextBox 24">
          <a:extLst>
            <a:ext uri="{FF2B5EF4-FFF2-40B4-BE49-F238E27FC236}">
              <a16:creationId xmlns:a16="http://schemas.microsoft.com/office/drawing/2014/main" id="{99D77EC5-28FE-405A-9D84-BC0F7DED03DA}"/>
            </a:ext>
          </a:extLst>
        </xdr:cNvPr>
        <xdr:cNvSpPr txBox="1"/>
      </xdr:nvSpPr>
      <xdr:spPr>
        <a:xfrm>
          <a:off x="617696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Cash</a:t>
          </a:r>
          <a:r>
            <a:rPr lang="en-IN" sz="1400" b="1" baseline="0">
              <a:solidFill>
                <a:sysClr val="windowText" lastClr="000000"/>
              </a:solidFill>
            </a:rPr>
            <a:t> Flow Statement</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6" name="Rectangle 25">
          <a:hlinkClick xmlns:r="http://schemas.openxmlformats.org/officeDocument/2006/relationships" r:id="rId1"/>
          <a:extLst>
            <a:ext uri="{FF2B5EF4-FFF2-40B4-BE49-F238E27FC236}">
              <a16:creationId xmlns:a16="http://schemas.microsoft.com/office/drawing/2014/main" id="{38020721-7388-409F-952E-C3F3E52F0002}"/>
            </a:ext>
          </a:extLst>
        </xdr:cNvPr>
        <xdr:cNvSpPr/>
      </xdr:nvSpPr>
      <xdr:spPr>
        <a:xfrm>
          <a:off x="9044555" y="795873"/>
          <a:ext cx="10191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7" name="Picture 26">
          <a:extLst>
            <a:ext uri="{FF2B5EF4-FFF2-40B4-BE49-F238E27FC236}">
              <a16:creationId xmlns:a16="http://schemas.microsoft.com/office/drawing/2014/main" id="{1CDB6A49-7F64-46A8-959F-60A9E82A55D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10</xdr:col>
      <xdr:colOff>695325</xdr:colOff>
      <xdr:row>4</xdr:row>
      <xdr:rowOff>57150</xdr:rowOff>
    </xdr:from>
    <xdr:to>
      <xdr:col>13</xdr:col>
      <xdr:colOff>285750</xdr:colOff>
      <xdr:row>5</xdr:row>
      <xdr:rowOff>142875</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A4345EAF-0133-4248-87F4-2DE984801FFB}"/>
            </a:ext>
          </a:extLst>
        </xdr:cNvPr>
        <xdr:cNvSpPr/>
      </xdr:nvSpPr>
      <xdr:spPr>
        <a:xfrm>
          <a:off x="9324975" y="781050"/>
          <a:ext cx="120967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6BBC48AE-D65E-4AD8-BDCC-67AE427CA043}"/>
            </a:ext>
          </a:extLst>
        </xdr:cNvPr>
        <xdr:cNvSpPr/>
      </xdr:nvSpPr>
      <xdr:spPr>
        <a:xfrm>
          <a:off x="9563100" y="742950"/>
          <a:ext cx="11144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7" name="Rectangle 6">
          <a:extLst>
            <a:ext uri="{FF2B5EF4-FFF2-40B4-BE49-F238E27FC236}">
              <a16:creationId xmlns:a16="http://schemas.microsoft.com/office/drawing/2014/main" id="{AD73349C-502F-4F8F-B4BE-27A95A6F9421}"/>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8" name="TextBox 7">
          <a:extLst>
            <a:ext uri="{FF2B5EF4-FFF2-40B4-BE49-F238E27FC236}">
              <a16:creationId xmlns:a16="http://schemas.microsoft.com/office/drawing/2014/main" id="{B78863BC-BC04-44F4-98EA-3380E9B1A9F6}"/>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4B1ECC0A-5735-4299-966F-42C93D1F0F9F}"/>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581026</xdr:colOff>
      <xdr:row>7</xdr:row>
      <xdr:rowOff>178594</xdr:rowOff>
    </xdr:to>
    <xdr:pic>
      <xdr:nvPicPr>
        <xdr:cNvPr id="10" name="Picture 9">
          <a:extLst>
            <a:ext uri="{FF2B5EF4-FFF2-40B4-BE49-F238E27FC236}">
              <a16:creationId xmlns:a16="http://schemas.microsoft.com/office/drawing/2014/main" id="{E6778CA4-C0C2-464C-B096-43B2E24FC4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1" name="Rectangle 10">
          <a:extLst>
            <a:ext uri="{FF2B5EF4-FFF2-40B4-BE49-F238E27FC236}">
              <a16:creationId xmlns:a16="http://schemas.microsoft.com/office/drawing/2014/main" id="{0EE853DB-9248-491C-9D9B-049B58773B07}"/>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2" name="TextBox 11">
          <a:extLst>
            <a:ext uri="{FF2B5EF4-FFF2-40B4-BE49-F238E27FC236}">
              <a16:creationId xmlns:a16="http://schemas.microsoft.com/office/drawing/2014/main" id="{E7C74DFC-DBB6-4098-8A23-2683ADAD9A3E}"/>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4E1BDD9C-0C75-4456-A36F-9C4B7C43F681}"/>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4" name="Picture 13">
          <a:extLst>
            <a:ext uri="{FF2B5EF4-FFF2-40B4-BE49-F238E27FC236}">
              <a16:creationId xmlns:a16="http://schemas.microsoft.com/office/drawing/2014/main" id="{2FEB96D7-7ED1-4710-B543-7F06EB2077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5" name="Rectangle 14">
          <a:extLst>
            <a:ext uri="{FF2B5EF4-FFF2-40B4-BE49-F238E27FC236}">
              <a16:creationId xmlns:a16="http://schemas.microsoft.com/office/drawing/2014/main" id="{8C3B4690-041C-4E1F-A2D4-DC98E97C4D79}"/>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6" name="TextBox 15">
          <a:extLst>
            <a:ext uri="{FF2B5EF4-FFF2-40B4-BE49-F238E27FC236}">
              <a16:creationId xmlns:a16="http://schemas.microsoft.com/office/drawing/2014/main" id="{14850CEF-9544-46E5-A8C4-844A2FA0889F}"/>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EBF0CD7C-973C-4565-9418-6F3991F7E4C4}"/>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581026</xdr:colOff>
      <xdr:row>7</xdr:row>
      <xdr:rowOff>178594</xdr:rowOff>
    </xdr:to>
    <xdr:pic>
      <xdr:nvPicPr>
        <xdr:cNvPr id="18" name="Picture 17">
          <a:extLst>
            <a:ext uri="{FF2B5EF4-FFF2-40B4-BE49-F238E27FC236}">
              <a16:creationId xmlns:a16="http://schemas.microsoft.com/office/drawing/2014/main" id="{7AF63F8E-3D11-4763-8050-C47C233FF1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9" name="Rectangle 18">
          <a:extLst>
            <a:ext uri="{FF2B5EF4-FFF2-40B4-BE49-F238E27FC236}">
              <a16:creationId xmlns:a16="http://schemas.microsoft.com/office/drawing/2014/main" id="{E56B91D0-C94F-4004-AD68-4D92697D8B65}"/>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0" name="TextBox 19">
          <a:extLst>
            <a:ext uri="{FF2B5EF4-FFF2-40B4-BE49-F238E27FC236}">
              <a16:creationId xmlns:a16="http://schemas.microsoft.com/office/drawing/2014/main" id="{3F0FB2CC-D4F6-411F-933A-6A86ACE66745}"/>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Income Statement Assumptions</a:t>
          </a: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4D43EB65-63DA-4DF1-B269-DC3E998EC121}"/>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2" name="Picture 21">
          <a:extLst>
            <a:ext uri="{FF2B5EF4-FFF2-40B4-BE49-F238E27FC236}">
              <a16:creationId xmlns:a16="http://schemas.microsoft.com/office/drawing/2014/main" id="{7C1AB3F7-412B-41B8-B9A0-0AD17B099F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11</xdr:col>
      <xdr:colOff>28575</xdr:colOff>
      <xdr:row>4</xdr:row>
      <xdr:rowOff>47625</xdr:rowOff>
    </xdr:from>
    <xdr:to>
      <xdr:col>13</xdr:col>
      <xdr:colOff>323850</xdr:colOff>
      <xdr:row>5</xdr:row>
      <xdr:rowOff>133350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821B0B8D-9563-4D46-8F92-D9ECE15B5A59}"/>
            </a:ext>
          </a:extLst>
        </xdr:cNvPr>
        <xdr:cNvSpPr/>
      </xdr:nvSpPr>
      <xdr:spPr>
        <a:xfrm>
          <a:off x="9534525" y="771525"/>
          <a:ext cx="120967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695325</xdr:colOff>
      <xdr:row>4</xdr:row>
      <xdr:rowOff>57150</xdr:rowOff>
    </xdr:from>
    <xdr:to>
      <xdr:col>13</xdr:col>
      <xdr:colOff>285750</xdr:colOff>
      <xdr:row>5</xdr:row>
      <xdr:rowOff>142875</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B4CAEB07-F9AF-4288-A22E-E810D4997C5E}"/>
            </a:ext>
          </a:extLst>
        </xdr:cNvPr>
        <xdr:cNvSpPr/>
      </xdr:nvSpPr>
      <xdr:spPr>
        <a:xfrm>
          <a:off x="9115425" y="819150"/>
          <a:ext cx="1171575"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FA5FC19E-CDE6-4014-8DB0-35A2F0C775FC}"/>
            </a:ext>
          </a:extLst>
        </xdr:cNvPr>
        <xdr:cNvSpPr/>
      </xdr:nvSpPr>
      <xdr:spPr>
        <a:xfrm>
          <a:off x="8705850" y="742950"/>
          <a:ext cx="12668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7" name="Rectangle 6">
          <a:extLst>
            <a:ext uri="{FF2B5EF4-FFF2-40B4-BE49-F238E27FC236}">
              <a16:creationId xmlns:a16="http://schemas.microsoft.com/office/drawing/2014/main" id="{33C80A41-ABD3-43F6-A1CB-4EABAA4DB69D}"/>
            </a:ext>
          </a:extLst>
        </xdr:cNvPr>
        <xdr:cNvSpPr/>
      </xdr:nvSpPr>
      <xdr:spPr>
        <a:xfrm>
          <a:off x="11906" y="23811"/>
          <a:ext cx="99917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8" name="TextBox 7">
          <a:extLst>
            <a:ext uri="{FF2B5EF4-FFF2-40B4-BE49-F238E27FC236}">
              <a16:creationId xmlns:a16="http://schemas.microsoft.com/office/drawing/2014/main" id="{2F1F68AA-C7E7-4CB2-B12D-CC87DC6F9A79}"/>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FA5C6BC3-E93A-4685-BBFB-9A7B46E31B7F}"/>
            </a:ext>
          </a:extLst>
        </xdr:cNvPr>
        <xdr:cNvSpPr/>
      </xdr:nvSpPr>
      <xdr:spPr>
        <a:xfrm>
          <a:off x="88445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590551</xdr:colOff>
      <xdr:row>7</xdr:row>
      <xdr:rowOff>178594</xdr:rowOff>
    </xdr:to>
    <xdr:pic>
      <xdr:nvPicPr>
        <xdr:cNvPr id="10" name="Picture 9">
          <a:extLst>
            <a:ext uri="{FF2B5EF4-FFF2-40B4-BE49-F238E27FC236}">
              <a16:creationId xmlns:a16="http://schemas.microsoft.com/office/drawing/2014/main" id="{5F35B76C-6067-4DBF-99AB-934178C83F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1" name="Rectangle 10">
          <a:extLst>
            <a:ext uri="{FF2B5EF4-FFF2-40B4-BE49-F238E27FC236}">
              <a16:creationId xmlns:a16="http://schemas.microsoft.com/office/drawing/2014/main" id="{5142CA9C-6C5B-4991-9219-2421CDA37CFC}"/>
            </a:ext>
          </a:extLst>
        </xdr:cNvPr>
        <xdr:cNvSpPr/>
      </xdr:nvSpPr>
      <xdr:spPr>
        <a:xfrm>
          <a:off x="11906" y="23811"/>
          <a:ext cx="99917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2" name="TextBox 11">
          <a:extLst>
            <a:ext uri="{FF2B5EF4-FFF2-40B4-BE49-F238E27FC236}">
              <a16:creationId xmlns:a16="http://schemas.microsoft.com/office/drawing/2014/main" id="{72CDF571-8DA3-4624-9FCA-A8DDA461E16D}"/>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CF1111BB-ACE5-4D6F-AE00-7C5BCD5C0B97}"/>
            </a:ext>
          </a:extLst>
        </xdr:cNvPr>
        <xdr:cNvSpPr/>
      </xdr:nvSpPr>
      <xdr:spPr>
        <a:xfrm>
          <a:off x="88445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4" name="Picture 13">
          <a:extLst>
            <a:ext uri="{FF2B5EF4-FFF2-40B4-BE49-F238E27FC236}">
              <a16:creationId xmlns:a16="http://schemas.microsoft.com/office/drawing/2014/main" id="{B38D85EC-6B67-4C11-94DB-7F5F5A38DB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5" name="Rectangle 14">
          <a:extLst>
            <a:ext uri="{FF2B5EF4-FFF2-40B4-BE49-F238E27FC236}">
              <a16:creationId xmlns:a16="http://schemas.microsoft.com/office/drawing/2014/main" id="{FC962D5A-2871-4411-A5C7-0118E9F43333}"/>
            </a:ext>
          </a:extLst>
        </xdr:cNvPr>
        <xdr:cNvSpPr/>
      </xdr:nvSpPr>
      <xdr:spPr>
        <a:xfrm>
          <a:off x="11906" y="23811"/>
          <a:ext cx="99917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6" name="TextBox 15">
          <a:extLst>
            <a:ext uri="{FF2B5EF4-FFF2-40B4-BE49-F238E27FC236}">
              <a16:creationId xmlns:a16="http://schemas.microsoft.com/office/drawing/2014/main" id="{0A42DA1C-500B-4B11-B7BE-06B5F9563B3B}"/>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3AB2E336-C4A9-4C8F-A7B8-B5B0B3CDB175}"/>
            </a:ext>
          </a:extLst>
        </xdr:cNvPr>
        <xdr:cNvSpPr/>
      </xdr:nvSpPr>
      <xdr:spPr>
        <a:xfrm>
          <a:off x="88445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590551</xdr:colOff>
      <xdr:row>7</xdr:row>
      <xdr:rowOff>178594</xdr:rowOff>
    </xdr:to>
    <xdr:pic>
      <xdr:nvPicPr>
        <xdr:cNvPr id="18" name="Picture 17">
          <a:extLst>
            <a:ext uri="{FF2B5EF4-FFF2-40B4-BE49-F238E27FC236}">
              <a16:creationId xmlns:a16="http://schemas.microsoft.com/office/drawing/2014/main" id="{7997993B-BF66-4225-8FD7-EE5539C381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9" name="Rectangle 18">
          <a:extLst>
            <a:ext uri="{FF2B5EF4-FFF2-40B4-BE49-F238E27FC236}">
              <a16:creationId xmlns:a16="http://schemas.microsoft.com/office/drawing/2014/main" id="{320254D6-DB5C-4C6E-99CA-F1E34CC6E821}"/>
            </a:ext>
          </a:extLst>
        </xdr:cNvPr>
        <xdr:cNvSpPr/>
      </xdr:nvSpPr>
      <xdr:spPr>
        <a:xfrm>
          <a:off x="11906" y="23811"/>
          <a:ext cx="99917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0" name="TextBox 19">
          <a:extLst>
            <a:ext uri="{FF2B5EF4-FFF2-40B4-BE49-F238E27FC236}">
              <a16:creationId xmlns:a16="http://schemas.microsoft.com/office/drawing/2014/main" id="{434D3F8C-9922-4002-A913-BD4D146D3F6A}"/>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Balance Sheet Assumptions</a:t>
          </a: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BD58E9CB-5FAF-4EC3-A656-FF835D84B1C0}"/>
            </a:ext>
          </a:extLst>
        </xdr:cNvPr>
        <xdr:cNvSpPr/>
      </xdr:nvSpPr>
      <xdr:spPr>
        <a:xfrm>
          <a:off x="88445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2" name="Picture 21">
          <a:extLst>
            <a:ext uri="{FF2B5EF4-FFF2-40B4-BE49-F238E27FC236}">
              <a16:creationId xmlns:a16="http://schemas.microsoft.com/office/drawing/2014/main" id="{2E72F626-3366-4DF3-8637-61B6CEA5B5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 y="130970"/>
          <a:ext cx="3524251" cy="138112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11</xdr:col>
      <xdr:colOff>28575</xdr:colOff>
      <xdr:row>4</xdr:row>
      <xdr:rowOff>47625</xdr:rowOff>
    </xdr:from>
    <xdr:to>
      <xdr:col>13</xdr:col>
      <xdr:colOff>323850</xdr:colOff>
      <xdr:row>5</xdr:row>
      <xdr:rowOff>133350</xdr:rowOff>
    </xdr:to>
    <xdr:sp macro="" textlink="">
      <xdr:nvSpPr>
        <xdr:cNvPr id="43" name="Rectangle 42">
          <a:hlinkClick xmlns:r="http://schemas.openxmlformats.org/officeDocument/2006/relationships" r:id="rId1"/>
          <a:extLst>
            <a:ext uri="{FF2B5EF4-FFF2-40B4-BE49-F238E27FC236}">
              <a16:creationId xmlns:a16="http://schemas.microsoft.com/office/drawing/2014/main" id="{249A2183-E5C4-4396-8526-B22C5E038EE6}"/>
            </a:ext>
          </a:extLst>
        </xdr:cNvPr>
        <xdr:cNvSpPr/>
      </xdr:nvSpPr>
      <xdr:spPr>
        <a:xfrm>
          <a:off x="9267825" y="809625"/>
          <a:ext cx="11811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2381</xdr:colOff>
      <xdr:row>4</xdr:row>
      <xdr:rowOff>57150</xdr:rowOff>
    </xdr:from>
    <xdr:to>
      <xdr:col>13</xdr:col>
      <xdr:colOff>285750</xdr:colOff>
      <xdr:row>5</xdr:row>
      <xdr:rowOff>142875</xdr:rowOff>
    </xdr:to>
    <xdr:sp macro="" textlink="">
      <xdr:nvSpPr>
        <xdr:cNvPr id="44" name="Rectangle 43">
          <a:hlinkClick xmlns:r="http://schemas.openxmlformats.org/officeDocument/2006/relationships" r:id="rId1"/>
          <a:extLst>
            <a:ext uri="{FF2B5EF4-FFF2-40B4-BE49-F238E27FC236}">
              <a16:creationId xmlns:a16="http://schemas.microsoft.com/office/drawing/2014/main" id="{235EC37E-3746-4378-9D84-9608ACF87A41}"/>
            </a:ext>
          </a:extLst>
        </xdr:cNvPr>
        <xdr:cNvSpPr/>
      </xdr:nvSpPr>
      <xdr:spPr>
        <a:xfrm>
          <a:off x="9239250" y="819150"/>
          <a:ext cx="1171575"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45" name="Rectangle 44">
          <a:hlinkClick xmlns:r="http://schemas.openxmlformats.org/officeDocument/2006/relationships" r:id="rId1"/>
          <a:extLst>
            <a:ext uri="{FF2B5EF4-FFF2-40B4-BE49-F238E27FC236}">
              <a16:creationId xmlns:a16="http://schemas.microsoft.com/office/drawing/2014/main" id="{490A1CA6-A70B-47F7-AB0C-A8BE413BB132}"/>
            </a:ext>
          </a:extLst>
        </xdr:cNvPr>
        <xdr:cNvSpPr/>
      </xdr:nvSpPr>
      <xdr:spPr>
        <a:xfrm>
          <a:off x="8829675" y="742950"/>
          <a:ext cx="12668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46" name="Rectangle 45">
          <a:extLst>
            <a:ext uri="{FF2B5EF4-FFF2-40B4-BE49-F238E27FC236}">
              <a16:creationId xmlns:a16="http://schemas.microsoft.com/office/drawing/2014/main" id="{64DD44E7-F636-4560-89D9-2DDB7044C149}"/>
            </a:ext>
          </a:extLst>
        </xdr:cNvPr>
        <xdr:cNvSpPr/>
      </xdr:nvSpPr>
      <xdr:spPr>
        <a:xfrm>
          <a:off x="11906" y="23811"/>
          <a:ext cx="10115550"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47" name="TextBox 46">
          <a:extLst>
            <a:ext uri="{FF2B5EF4-FFF2-40B4-BE49-F238E27FC236}">
              <a16:creationId xmlns:a16="http://schemas.microsoft.com/office/drawing/2014/main" id="{F41A336A-888F-46E0-A26A-0304F74AFB3B}"/>
            </a:ext>
          </a:extLst>
        </xdr:cNvPr>
        <xdr:cNvSpPr txBox="1"/>
      </xdr:nvSpPr>
      <xdr:spPr>
        <a:xfrm>
          <a:off x="59959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48" name="Rectangle 47">
          <a:hlinkClick xmlns:r="http://schemas.openxmlformats.org/officeDocument/2006/relationships" r:id="rId1"/>
          <a:extLst>
            <a:ext uri="{FF2B5EF4-FFF2-40B4-BE49-F238E27FC236}">
              <a16:creationId xmlns:a16="http://schemas.microsoft.com/office/drawing/2014/main" id="{835E8079-0925-4F30-B14D-E57299D56458}"/>
            </a:ext>
          </a:extLst>
        </xdr:cNvPr>
        <xdr:cNvSpPr/>
      </xdr:nvSpPr>
      <xdr:spPr>
        <a:xfrm>
          <a:off x="8968355"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49" name="Picture 48">
          <a:extLst>
            <a:ext uri="{FF2B5EF4-FFF2-40B4-BE49-F238E27FC236}">
              <a16:creationId xmlns:a16="http://schemas.microsoft.com/office/drawing/2014/main" id="{D87C0302-22B5-4BE7-AB63-2C2572AE11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50" name="Rectangle 49">
          <a:extLst>
            <a:ext uri="{FF2B5EF4-FFF2-40B4-BE49-F238E27FC236}">
              <a16:creationId xmlns:a16="http://schemas.microsoft.com/office/drawing/2014/main" id="{116AE0BD-E989-4147-B914-1CED6D4B0711}"/>
            </a:ext>
          </a:extLst>
        </xdr:cNvPr>
        <xdr:cNvSpPr/>
      </xdr:nvSpPr>
      <xdr:spPr>
        <a:xfrm>
          <a:off x="11906" y="23811"/>
          <a:ext cx="10115550"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51" name="TextBox 50">
          <a:extLst>
            <a:ext uri="{FF2B5EF4-FFF2-40B4-BE49-F238E27FC236}">
              <a16:creationId xmlns:a16="http://schemas.microsoft.com/office/drawing/2014/main" id="{4B4B9AD1-93E3-4BFC-A21D-A7BE8C4A28E0}"/>
            </a:ext>
          </a:extLst>
        </xdr:cNvPr>
        <xdr:cNvSpPr txBox="1"/>
      </xdr:nvSpPr>
      <xdr:spPr>
        <a:xfrm>
          <a:off x="59959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52" name="Rectangle 51">
          <a:hlinkClick xmlns:r="http://schemas.openxmlformats.org/officeDocument/2006/relationships" r:id="rId1"/>
          <a:extLst>
            <a:ext uri="{FF2B5EF4-FFF2-40B4-BE49-F238E27FC236}">
              <a16:creationId xmlns:a16="http://schemas.microsoft.com/office/drawing/2014/main" id="{A5EBB5B4-815B-446D-8B8D-40E955F2634E}"/>
            </a:ext>
          </a:extLst>
        </xdr:cNvPr>
        <xdr:cNvSpPr/>
      </xdr:nvSpPr>
      <xdr:spPr>
        <a:xfrm>
          <a:off x="8968355"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53" name="Picture 52">
          <a:extLst>
            <a:ext uri="{FF2B5EF4-FFF2-40B4-BE49-F238E27FC236}">
              <a16:creationId xmlns:a16="http://schemas.microsoft.com/office/drawing/2014/main" id="{553B7F47-892E-4AF7-AD1E-93890374C9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54" name="Rectangle 53">
          <a:extLst>
            <a:ext uri="{FF2B5EF4-FFF2-40B4-BE49-F238E27FC236}">
              <a16:creationId xmlns:a16="http://schemas.microsoft.com/office/drawing/2014/main" id="{6E61BC28-9524-419E-B228-83F37C5AF24B}"/>
            </a:ext>
          </a:extLst>
        </xdr:cNvPr>
        <xdr:cNvSpPr/>
      </xdr:nvSpPr>
      <xdr:spPr>
        <a:xfrm>
          <a:off x="11906" y="23811"/>
          <a:ext cx="10115550"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55" name="TextBox 54">
          <a:extLst>
            <a:ext uri="{FF2B5EF4-FFF2-40B4-BE49-F238E27FC236}">
              <a16:creationId xmlns:a16="http://schemas.microsoft.com/office/drawing/2014/main" id="{2CF58762-7234-4A53-B9FE-3ACF5DCBDA2B}"/>
            </a:ext>
          </a:extLst>
        </xdr:cNvPr>
        <xdr:cNvSpPr txBox="1"/>
      </xdr:nvSpPr>
      <xdr:spPr>
        <a:xfrm>
          <a:off x="59959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56" name="Rectangle 55">
          <a:hlinkClick xmlns:r="http://schemas.openxmlformats.org/officeDocument/2006/relationships" r:id="rId1"/>
          <a:extLst>
            <a:ext uri="{FF2B5EF4-FFF2-40B4-BE49-F238E27FC236}">
              <a16:creationId xmlns:a16="http://schemas.microsoft.com/office/drawing/2014/main" id="{1CA777B2-D405-44DD-8ADA-1AF6B4FE9B77}"/>
            </a:ext>
          </a:extLst>
        </xdr:cNvPr>
        <xdr:cNvSpPr/>
      </xdr:nvSpPr>
      <xdr:spPr>
        <a:xfrm>
          <a:off x="8968355"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57" name="Picture 56">
          <a:extLst>
            <a:ext uri="{FF2B5EF4-FFF2-40B4-BE49-F238E27FC236}">
              <a16:creationId xmlns:a16="http://schemas.microsoft.com/office/drawing/2014/main" id="{32B0816E-F884-4ADE-8558-EA601222E3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58" name="Rectangle 57">
          <a:extLst>
            <a:ext uri="{FF2B5EF4-FFF2-40B4-BE49-F238E27FC236}">
              <a16:creationId xmlns:a16="http://schemas.microsoft.com/office/drawing/2014/main" id="{C0C020A5-4446-49E6-97E7-65FED62CA6F4}"/>
            </a:ext>
          </a:extLst>
        </xdr:cNvPr>
        <xdr:cNvSpPr/>
      </xdr:nvSpPr>
      <xdr:spPr>
        <a:xfrm>
          <a:off x="11906" y="23811"/>
          <a:ext cx="10115550"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59" name="TextBox 58">
          <a:extLst>
            <a:ext uri="{FF2B5EF4-FFF2-40B4-BE49-F238E27FC236}">
              <a16:creationId xmlns:a16="http://schemas.microsoft.com/office/drawing/2014/main" id="{C11319DD-2A31-4D5D-AFAE-FF4DEB97AAD5}"/>
            </a:ext>
          </a:extLst>
        </xdr:cNvPr>
        <xdr:cNvSpPr txBox="1"/>
      </xdr:nvSpPr>
      <xdr:spPr>
        <a:xfrm>
          <a:off x="59959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Equity</a:t>
          </a:r>
          <a:r>
            <a:rPr lang="en-IN" sz="1400" b="1" baseline="0">
              <a:solidFill>
                <a:sysClr val="windowText" lastClr="000000"/>
              </a:solidFill>
            </a:rPr>
            <a:t> Schedule</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C61AF1AA-EB97-4EEF-BDF7-37001B8A2698}"/>
            </a:ext>
          </a:extLst>
        </xdr:cNvPr>
        <xdr:cNvSpPr/>
      </xdr:nvSpPr>
      <xdr:spPr>
        <a:xfrm>
          <a:off x="8968355"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61" name="Picture 60">
          <a:extLst>
            <a:ext uri="{FF2B5EF4-FFF2-40B4-BE49-F238E27FC236}">
              <a16:creationId xmlns:a16="http://schemas.microsoft.com/office/drawing/2014/main" id="{B7CD9713-F526-4559-8B32-3E333C485D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11</xdr:col>
      <xdr:colOff>28575</xdr:colOff>
      <xdr:row>4</xdr:row>
      <xdr:rowOff>47625</xdr:rowOff>
    </xdr:from>
    <xdr:to>
      <xdr:col>13</xdr:col>
      <xdr:colOff>323850</xdr:colOff>
      <xdr:row>5</xdr:row>
      <xdr:rowOff>133350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2014815E-4B02-4E51-BB94-27C1FE519176}"/>
            </a:ext>
          </a:extLst>
        </xdr:cNvPr>
        <xdr:cNvSpPr/>
      </xdr:nvSpPr>
      <xdr:spPr>
        <a:xfrm>
          <a:off x="10039350" y="809625"/>
          <a:ext cx="112395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2381</xdr:colOff>
      <xdr:row>4</xdr:row>
      <xdr:rowOff>57150</xdr:rowOff>
    </xdr:from>
    <xdr:to>
      <xdr:col>13</xdr:col>
      <xdr:colOff>285750</xdr:colOff>
      <xdr:row>5</xdr:row>
      <xdr:rowOff>142875</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AF070E5-2B83-457C-9FC3-A4FFC2422AEB}"/>
            </a:ext>
          </a:extLst>
        </xdr:cNvPr>
        <xdr:cNvSpPr/>
      </xdr:nvSpPr>
      <xdr:spPr>
        <a:xfrm>
          <a:off x="10013156" y="819150"/>
          <a:ext cx="1112044"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9CCC6D0D-BAAE-41A4-8175-54C9370F3A7A}"/>
            </a:ext>
          </a:extLst>
        </xdr:cNvPr>
        <xdr:cNvSpPr/>
      </xdr:nvSpPr>
      <xdr:spPr>
        <a:xfrm>
          <a:off x="9677400" y="742950"/>
          <a:ext cx="11144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12" name="Rectangle 11">
          <a:extLst>
            <a:ext uri="{FF2B5EF4-FFF2-40B4-BE49-F238E27FC236}">
              <a16:creationId xmlns:a16="http://schemas.microsoft.com/office/drawing/2014/main" id="{F8F3447E-4D1F-4C09-8C4A-98AFE821ADCD}"/>
            </a:ext>
          </a:extLst>
        </xdr:cNvPr>
        <xdr:cNvSpPr/>
      </xdr:nvSpPr>
      <xdr:spPr>
        <a:xfrm>
          <a:off x="11906" y="23811"/>
          <a:ext cx="108108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3" name="TextBox 12">
          <a:extLst>
            <a:ext uri="{FF2B5EF4-FFF2-40B4-BE49-F238E27FC236}">
              <a16:creationId xmlns:a16="http://schemas.microsoft.com/office/drawing/2014/main" id="{06D2EDC8-7767-43B6-9468-0A8BA7687861}"/>
            </a:ext>
          </a:extLst>
        </xdr:cNvPr>
        <xdr:cNvSpPr txBox="1"/>
      </xdr:nvSpPr>
      <xdr:spPr>
        <a:xfrm>
          <a:off x="68151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B4F3F2C5-C141-46B5-83B7-C17240B19240}"/>
            </a:ext>
          </a:extLst>
        </xdr:cNvPr>
        <xdr:cNvSpPr/>
      </xdr:nvSpPr>
      <xdr:spPr>
        <a:xfrm>
          <a:off x="9816080" y="795873"/>
          <a:ext cx="1023937"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15" name="Picture 14">
          <a:extLst>
            <a:ext uri="{FF2B5EF4-FFF2-40B4-BE49-F238E27FC236}">
              <a16:creationId xmlns:a16="http://schemas.microsoft.com/office/drawing/2014/main" id="{0CC2FB9E-0657-430F-A97C-8C71506240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6" name="Rectangle 15">
          <a:extLst>
            <a:ext uri="{FF2B5EF4-FFF2-40B4-BE49-F238E27FC236}">
              <a16:creationId xmlns:a16="http://schemas.microsoft.com/office/drawing/2014/main" id="{0A1F9C4B-BBB3-4777-9984-A8760ABA6091}"/>
            </a:ext>
          </a:extLst>
        </xdr:cNvPr>
        <xdr:cNvSpPr/>
      </xdr:nvSpPr>
      <xdr:spPr>
        <a:xfrm>
          <a:off x="11906" y="23811"/>
          <a:ext cx="108108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7" name="TextBox 16">
          <a:extLst>
            <a:ext uri="{FF2B5EF4-FFF2-40B4-BE49-F238E27FC236}">
              <a16:creationId xmlns:a16="http://schemas.microsoft.com/office/drawing/2014/main" id="{9E43776B-392B-4C12-8D09-E0EDBDE76A56}"/>
            </a:ext>
          </a:extLst>
        </xdr:cNvPr>
        <xdr:cNvSpPr txBox="1"/>
      </xdr:nvSpPr>
      <xdr:spPr>
        <a:xfrm>
          <a:off x="68151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4A990C0B-A48F-45A0-8950-89C0A8DA4BFD}"/>
            </a:ext>
          </a:extLst>
        </xdr:cNvPr>
        <xdr:cNvSpPr/>
      </xdr:nvSpPr>
      <xdr:spPr>
        <a:xfrm>
          <a:off x="9816080" y="795873"/>
          <a:ext cx="1023937"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9" name="Picture 18">
          <a:extLst>
            <a:ext uri="{FF2B5EF4-FFF2-40B4-BE49-F238E27FC236}">
              <a16:creationId xmlns:a16="http://schemas.microsoft.com/office/drawing/2014/main" id="{6F94B434-A455-448A-B0A4-7E006B4D6A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0" name="Rectangle 19">
          <a:extLst>
            <a:ext uri="{FF2B5EF4-FFF2-40B4-BE49-F238E27FC236}">
              <a16:creationId xmlns:a16="http://schemas.microsoft.com/office/drawing/2014/main" id="{B2420B7F-AFF1-4DA5-B177-E02242B18A16}"/>
            </a:ext>
          </a:extLst>
        </xdr:cNvPr>
        <xdr:cNvSpPr/>
      </xdr:nvSpPr>
      <xdr:spPr>
        <a:xfrm>
          <a:off x="11906" y="23811"/>
          <a:ext cx="108108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1" name="TextBox 20">
          <a:extLst>
            <a:ext uri="{FF2B5EF4-FFF2-40B4-BE49-F238E27FC236}">
              <a16:creationId xmlns:a16="http://schemas.microsoft.com/office/drawing/2014/main" id="{C53BC77C-4B3B-4FF5-85CD-1F35D1A094B5}"/>
            </a:ext>
          </a:extLst>
        </xdr:cNvPr>
        <xdr:cNvSpPr txBox="1"/>
      </xdr:nvSpPr>
      <xdr:spPr>
        <a:xfrm>
          <a:off x="68151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295D2FDB-5EEA-4E1A-9E52-C4883BD1D028}"/>
            </a:ext>
          </a:extLst>
        </xdr:cNvPr>
        <xdr:cNvSpPr/>
      </xdr:nvSpPr>
      <xdr:spPr>
        <a:xfrm>
          <a:off x="9816080" y="795873"/>
          <a:ext cx="1023937"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23" name="Picture 22">
          <a:extLst>
            <a:ext uri="{FF2B5EF4-FFF2-40B4-BE49-F238E27FC236}">
              <a16:creationId xmlns:a16="http://schemas.microsoft.com/office/drawing/2014/main" id="{C45029D4-D76B-4B2E-A61E-9C16A92F5D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4" name="Rectangle 23">
          <a:extLst>
            <a:ext uri="{FF2B5EF4-FFF2-40B4-BE49-F238E27FC236}">
              <a16:creationId xmlns:a16="http://schemas.microsoft.com/office/drawing/2014/main" id="{26E8F6F6-2385-45AD-8178-05B2AFEB9659}"/>
            </a:ext>
          </a:extLst>
        </xdr:cNvPr>
        <xdr:cNvSpPr/>
      </xdr:nvSpPr>
      <xdr:spPr>
        <a:xfrm>
          <a:off x="11906" y="23811"/>
          <a:ext cx="108108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5" name="TextBox 24">
          <a:extLst>
            <a:ext uri="{FF2B5EF4-FFF2-40B4-BE49-F238E27FC236}">
              <a16:creationId xmlns:a16="http://schemas.microsoft.com/office/drawing/2014/main" id="{A499DD74-62CF-4220-949D-9FD8C5FDDB6E}"/>
            </a:ext>
          </a:extLst>
        </xdr:cNvPr>
        <xdr:cNvSpPr txBox="1"/>
      </xdr:nvSpPr>
      <xdr:spPr>
        <a:xfrm>
          <a:off x="68151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Debt</a:t>
          </a:r>
          <a:r>
            <a:rPr lang="en-IN" sz="1400" b="1" baseline="0">
              <a:solidFill>
                <a:sysClr val="windowText" lastClr="000000"/>
              </a:solidFill>
            </a:rPr>
            <a:t> Schedule</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26" name="Rectangle 25">
          <a:hlinkClick xmlns:r="http://schemas.openxmlformats.org/officeDocument/2006/relationships" r:id="rId1"/>
          <a:extLst>
            <a:ext uri="{FF2B5EF4-FFF2-40B4-BE49-F238E27FC236}">
              <a16:creationId xmlns:a16="http://schemas.microsoft.com/office/drawing/2014/main" id="{F926B86E-287E-42F2-9EB2-249AB0473AB9}"/>
            </a:ext>
          </a:extLst>
        </xdr:cNvPr>
        <xdr:cNvSpPr/>
      </xdr:nvSpPr>
      <xdr:spPr>
        <a:xfrm>
          <a:off x="9816080" y="795873"/>
          <a:ext cx="1023937"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7" name="Picture 26">
          <a:extLst>
            <a:ext uri="{FF2B5EF4-FFF2-40B4-BE49-F238E27FC236}">
              <a16:creationId xmlns:a16="http://schemas.microsoft.com/office/drawing/2014/main" id="{22D56E0B-7F88-415F-91EF-17387E9218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130970"/>
          <a:ext cx="3524251" cy="138112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11</xdr:col>
      <xdr:colOff>238125</xdr:colOff>
      <xdr:row>4</xdr:row>
      <xdr:rowOff>85725</xdr:rowOff>
    </xdr:from>
    <xdr:to>
      <xdr:col>13</xdr:col>
      <xdr:colOff>771525</xdr:colOff>
      <xdr:row>5</xdr:row>
      <xdr:rowOff>171450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7B2C6504-8026-4099-9092-43EE1E10F83C}"/>
            </a:ext>
          </a:extLst>
        </xdr:cNvPr>
        <xdr:cNvSpPr/>
      </xdr:nvSpPr>
      <xdr:spPr>
        <a:xfrm>
          <a:off x="12230100" y="809625"/>
          <a:ext cx="168592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28575</xdr:colOff>
      <xdr:row>4</xdr:row>
      <xdr:rowOff>47625</xdr:rowOff>
    </xdr:from>
    <xdr:to>
      <xdr:col>13</xdr:col>
      <xdr:colOff>323850</xdr:colOff>
      <xdr:row>5</xdr:row>
      <xdr:rowOff>133350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ECE1D276-7A3B-45F6-AEFF-DFC01D2F2F96}"/>
            </a:ext>
          </a:extLst>
        </xdr:cNvPr>
        <xdr:cNvSpPr/>
      </xdr:nvSpPr>
      <xdr:spPr>
        <a:xfrm>
          <a:off x="9429750" y="8096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2381</xdr:colOff>
      <xdr:row>4</xdr:row>
      <xdr:rowOff>57150</xdr:rowOff>
    </xdr:from>
    <xdr:to>
      <xdr:col>13</xdr:col>
      <xdr:colOff>285750</xdr:colOff>
      <xdr:row>5</xdr:row>
      <xdr:rowOff>142875</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CF402501-B0E9-4AB7-B6A3-22EBD68E4BE4}"/>
            </a:ext>
          </a:extLst>
        </xdr:cNvPr>
        <xdr:cNvSpPr/>
      </xdr:nvSpPr>
      <xdr:spPr>
        <a:xfrm>
          <a:off x="9403556" y="819150"/>
          <a:ext cx="1207294"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DCE3A21A-04AE-472D-B0DC-F0448849D2AF}"/>
            </a:ext>
          </a:extLst>
        </xdr:cNvPr>
        <xdr:cNvSpPr/>
      </xdr:nvSpPr>
      <xdr:spPr>
        <a:xfrm>
          <a:off x="8963025" y="742950"/>
          <a:ext cx="1314450"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9" name="Rectangle 8">
          <a:extLst>
            <a:ext uri="{FF2B5EF4-FFF2-40B4-BE49-F238E27FC236}">
              <a16:creationId xmlns:a16="http://schemas.microsoft.com/office/drawing/2014/main" id="{DFA879A0-2160-49DA-8E66-B518A118C283}"/>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0" name="TextBox 9">
          <a:extLst>
            <a:ext uri="{FF2B5EF4-FFF2-40B4-BE49-F238E27FC236}">
              <a16:creationId xmlns:a16="http://schemas.microsoft.com/office/drawing/2014/main" id="{502823AD-0B17-4684-B07C-F73BB13167B5}"/>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6BAD1EAD-A17D-4A92-85C1-F6DE4883C394}"/>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12" name="Picture 11">
          <a:extLst>
            <a:ext uri="{FF2B5EF4-FFF2-40B4-BE49-F238E27FC236}">
              <a16:creationId xmlns:a16="http://schemas.microsoft.com/office/drawing/2014/main" id="{02B4018D-0E11-42D0-BA41-36B1A10C68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3" name="Rectangle 12">
          <a:extLst>
            <a:ext uri="{FF2B5EF4-FFF2-40B4-BE49-F238E27FC236}">
              <a16:creationId xmlns:a16="http://schemas.microsoft.com/office/drawing/2014/main" id="{3406C157-C34D-49D9-AA6A-92BB6467E457}"/>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4" name="TextBox 13">
          <a:extLst>
            <a:ext uri="{FF2B5EF4-FFF2-40B4-BE49-F238E27FC236}">
              <a16:creationId xmlns:a16="http://schemas.microsoft.com/office/drawing/2014/main" id="{D4699F57-A306-42A6-99C9-5C46DF30B81C}"/>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36893582-2632-42B4-A006-49B31C3453F5}"/>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6" name="Picture 15">
          <a:extLst>
            <a:ext uri="{FF2B5EF4-FFF2-40B4-BE49-F238E27FC236}">
              <a16:creationId xmlns:a16="http://schemas.microsoft.com/office/drawing/2014/main" id="{F6492BBC-E3BA-43D5-9DF5-B593B04016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7" name="Rectangle 16">
          <a:extLst>
            <a:ext uri="{FF2B5EF4-FFF2-40B4-BE49-F238E27FC236}">
              <a16:creationId xmlns:a16="http://schemas.microsoft.com/office/drawing/2014/main" id="{B0CDB162-059B-47B5-95ED-656A762173F6}"/>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8" name="TextBox 17">
          <a:extLst>
            <a:ext uri="{FF2B5EF4-FFF2-40B4-BE49-F238E27FC236}">
              <a16:creationId xmlns:a16="http://schemas.microsoft.com/office/drawing/2014/main" id="{BD56616F-BD15-45CD-A5D8-C587F9445D2C}"/>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989F0E50-3C4E-4E60-92DF-AD7F33471D56}"/>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20" name="Picture 19">
          <a:extLst>
            <a:ext uri="{FF2B5EF4-FFF2-40B4-BE49-F238E27FC236}">
              <a16:creationId xmlns:a16="http://schemas.microsoft.com/office/drawing/2014/main" id="{03440752-B4C0-456F-8F59-86A9ECCEBC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1" name="Rectangle 20">
          <a:extLst>
            <a:ext uri="{FF2B5EF4-FFF2-40B4-BE49-F238E27FC236}">
              <a16:creationId xmlns:a16="http://schemas.microsoft.com/office/drawing/2014/main" id="{8E05A1DC-4044-49B9-BE4E-E2699B4C5FD5}"/>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2" name="TextBox 21">
          <a:extLst>
            <a:ext uri="{FF2B5EF4-FFF2-40B4-BE49-F238E27FC236}">
              <a16:creationId xmlns:a16="http://schemas.microsoft.com/office/drawing/2014/main" id="{76128C0F-B461-4ACE-B4D3-2792B8C1A115}"/>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baseline="0">
              <a:solidFill>
                <a:sysClr val="windowText" lastClr="000000"/>
              </a:solidFill>
            </a:rPr>
            <a:t>Discounted Cash Flow Ana</a:t>
          </a:r>
          <a:r>
            <a:rPr lang="en-IN" sz="1400" b="0" baseline="0">
              <a:solidFill>
                <a:sysClr val="windowText" lastClr="000000"/>
              </a:solidFill>
            </a:rPr>
            <a:t>ly</a:t>
          </a:r>
          <a:r>
            <a:rPr lang="en-IN" sz="1400" b="1" baseline="0">
              <a:solidFill>
                <a:sysClr val="windowText" lastClr="000000"/>
              </a:solidFill>
            </a:rPr>
            <a:t>sis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17B80F07-0760-4A77-ADDC-C4731D7B083A}"/>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4" name="Picture 23">
          <a:extLst>
            <a:ext uri="{FF2B5EF4-FFF2-40B4-BE49-F238E27FC236}">
              <a16:creationId xmlns:a16="http://schemas.microsoft.com/office/drawing/2014/main" id="{824B0B11-101C-43C1-83BC-64B0414B74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417094" cy="547687"/>
    <xdr:sp macro="" textlink="">
      <xdr:nvSpPr>
        <xdr:cNvPr id="5" name="TextBox 4">
          <a:extLst>
            <a:ext uri="{FF2B5EF4-FFF2-40B4-BE49-F238E27FC236}">
              <a16:creationId xmlns:a16="http://schemas.microsoft.com/office/drawing/2014/main" id="{46B6D26D-AD35-42B8-A819-D47707490623}"/>
            </a:ext>
          </a:extLst>
        </xdr:cNvPr>
        <xdr:cNvSpPr txBox="1"/>
      </xdr:nvSpPr>
      <xdr:spPr>
        <a:xfrm>
          <a:off x="0" y="0"/>
          <a:ext cx="3417094" cy="5476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IN" sz="1100"/>
        </a:p>
      </xdr:txBody>
    </xdr:sp>
    <xdr:clientData/>
  </xdr:oneCellAnchor>
  <xdr:twoCellAnchor>
    <xdr:from>
      <xdr:col>7</xdr:col>
      <xdr:colOff>159544</xdr:colOff>
      <xdr:row>1</xdr:row>
      <xdr:rowOff>169070</xdr:rowOff>
    </xdr:from>
    <xdr:to>
      <xdr:col>8</xdr:col>
      <xdr:colOff>130968</xdr:colOff>
      <xdr:row>3</xdr:row>
      <xdr:rowOff>78583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D7F5D327-3AAB-49D9-AC04-5BC36796F494}"/>
            </a:ext>
          </a:extLst>
        </xdr:cNvPr>
        <xdr:cNvSpPr/>
      </xdr:nvSpPr>
      <xdr:spPr>
        <a:xfrm>
          <a:off x="4814888" y="371476"/>
          <a:ext cx="578643" cy="3857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i="1" u="sng"/>
        </a:p>
      </xdr:txBody>
    </xdr:sp>
    <xdr:clientData/>
  </xdr:twoCellAnchor>
  <xdr:twoCellAnchor editAs="oneCell">
    <xdr:from>
      <xdr:col>0</xdr:col>
      <xdr:colOff>238125</xdr:colOff>
      <xdr:row>0</xdr:row>
      <xdr:rowOff>119062</xdr:rowOff>
    </xdr:from>
    <xdr:to>
      <xdr:col>4</xdr:col>
      <xdr:colOff>571502</xdr:colOff>
      <xdr:row>2</xdr:row>
      <xdr:rowOff>209549</xdr:rowOff>
    </xdr:to>
    <xdr:pic>
      <xdr:nvPicPr>
        <xdr:cNvPr id="8" name="Picture 7" descr="File:Colgate-Palmolive logo.svg - Wikipedia">
          <a:extLst>
            <a:ext uri="{FF2B5EF4-FFF2-40B4-BE49-F238E27FC236}">
              <a16:creationId xmlns:a16="http://schemas.microsoft.com/office/drawing/2014/main" id="{CF428520-ADF0-4A38-AF3C-254BA75D5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1352" cy="459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238125</xdr:colOff>
      <xdr:row>0</xdr:row>
      <xdr:rowOff>119062</xdr:rowOff>
    </xdr:from>
    <xdr:ext cx="3188496" cy="464344"/>
    <xdr:pic>
      <xdr:nvPicPr>
        <xdr:cNvPr id="11" name="Picture 10" descr="File:Colgate-Palmolive logo.svg - Wikipedia">
          <a:extLst>
            <a:ext uri="{FF2B5EF4-FFF2-40B4-BE49-F238E27FC236}">
              <a16:creationId xmlns:a16="http://schemas.microsoft.com/office/drawing/2014/main" id="{7B3A31F1-B052-4F4D-8E61-94B4F1815E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8496" cy="4643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417094" cy="547687"/>
    <xdr:sp macro="" textlink="">
      <xdr:nvSpPr>
        <xdr:cNvPr id="5" name="TextBox 4">
          <a:extLst>
            <a:ext uri="{FF2B5EF4-FFF2-40B4-BE49-F238E27FC236}">
              <a16:creationId xmlns:a16="http://schemas.microsoft.com/office/drawing/2014/main" id="{4295F00D-8CB8-41A6-B9A5-41850F7B0816}"/>
            </a:ext>
          </a:extLst>
        </xdr:cNvPr>
        <xdr:cNvSpPr txBox="1"/>
      </xdr:nvSpPr>
      <xdr:spPr>
        <a:xfrm>
          <a:off x="0" y="0"/>
          <a:ext cx="3417094" cy="5476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IN" sz="1100"/>
        </a:p>
      </xdr:txBody>
    </xdr:sp>
    <xdr:clientData/>
  </xdr:oneCellAnchor>
  <xdr:twoCellAnchor>
    <xdr:from>
      <xdr:col>7</xdr:col>
      <xdr:colOff>159544</xdr:colOff>
      <xdr:row>1</xdr:row>
      <xdr:rowOff>169070</xdr:rowOff>
    </xdr:from>
    <xdr:to>
      <xdr:col>8</xdr:col>
      <xdr:colOff>130968</xdr:colOff>
      <xdr:row>3</xdr:row>
      <xdr:rowOff>78583</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61DA9765-F2AB-497D-AA8A-888DB45F9757}"/>
            </a:ext>
          </a:extLst>
        </xdr:cNvPr>
        <xdr:cNvSpPr/>
      </xdr:nvSpPr>
      <xdr:spPr>
        <a:xfrm>
          <a:off x="4836319" y="369095"/>
          <a:ext cx="581024" cy="3857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i="1" u="sng"/>
        </a:p>
      </xdr:txBody>
    </xdr:sp>
    <xdr:clientData/>
  </xdr:twoCellAnchor>
  <xdr:twoCellAnchor editAs="oneCell">
    <xdr:from>
      <xdr:col>0</xdr:col>
      <xdr:colOff>238125</xdr:colOff>
      <xdr:row>0</xdr:row>
      <xdr:rowOff>119062</xdr:rowOff>
    </xdr:from>
    <xdr:to>
      <xdr:col>1</xdr:col>
      <xdr:colOff>3105152</xdr:colOff>
      <xdr:row>3</xdr:row>
      <xdr:rowOff>38099</xdr:rowOff>
    </xdr:to>
    <xdr:pic>
      <xdr:nvPicPr>
        <xdr:cNvPr id="7" name="Picture 6" descr="File:Colgate-Palmolive logo.svg - Wikipedia">
          <a:extLst>
            <a:ext uri="{FF2B5EF4-FFF2-40B4-BE49-F238E27FC236}">
              <a16:creationId xmlns:a16="http://schemas.microsoft.com/office/drawing/2014/main" id="{5E29A6D1-A656-4967-8A5C-2F4E2DEF1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1352" cy="490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238125</xdr:colOff>
      <xdr:row>0</xdr:row>
      <xdr:rowOff>119062</xdr:rowOff>
    </xdr:from>
    <xdr:ext cx="3188496" cy="464344"/>
    <xdr:pic>
      <xdr:nvPicPr>
        <xdr:cNvPr id="8" name="Picture 7" descr="File:Colgate-Palmolive logo.svg - Wikipedia">
          <a:extLst>
            <a:ext uri="{FF2B5EF4-FFF2-40B4-BE49-F238E27FC236}">
              <a16:creationId xmlns:a16="http://schemas.microsoft.com/office/drawing/2014/main" id="{5B011CA0-621C-4C0F-B78A-C8BC3922E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8496" cy="4643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4976812" cy="1059656"/>
    <xdr:sp macro="" textlink="">
      <xdr:nvSpPr>
        <xdr:cNvPr id="3" name="TextBox 2">
          <a:extLst>
            <a:ext uri="{FF2B5EF4-FFF2-40B4-BE49-F238E27FC236}">
              <a16:creationId xmlns:a16="http://schemas.microsoft.com/office/drawing/2014/main" id="{6979A155-DC41-479A-A743-3C84510388E7}"/>
            </a:ext>
          </a:extLst>
        </xdr:cNvPr>
        <xdr:cNvSpPr txBox="1"/>
      </xdr:nvSpPr>
      <xdr:spPr>
        <a:xfrm>
          <a:off x="0" y="0"/>
          <a:ext cx="4976812"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chemeClr val="bg1"/>
              </a:solidFill>
            </a:rPr>
            <a:t>COLGATE-PALMOLIVE COMPANY</a:t>
          </a:r>
        </a:p>
        <a:p>
          <a:r>
            <a:rPr lang="en-IN" sz="1400" b="1">
              <a:solidFill>
                <a:schemeClr val="bg1"/>
              </a:solidFill>
            </a:rPr>
            <a:t>Risk Free Rate</a:t>
          </a:r>
        </a:p>
        <a:p>
          <a:r>
            <a:rPr lang="en-IN" sz="1200" b="1" i="1">
              <a:solidFill>
                <a:schemeClr val="bg1"/>
              </a:solidFill>
            </a:rPr>
            <a:t>For the years ended December 31,</a:t>
          </a:r>
        </a:p>
        <a:p>
          <a:r>
            <a:rPr lang="en-IN" sz="1200" b="1" i="1">
              <a:solidFill>
                <a:schemeClr val="bg1"/>
              </a:solidFill>
            </a:rPr>
            <a:t>(All values in USD Millions, unless stated otherwise)</a:t>
          </a:r>
        </a:p>
        <a:p>
          <a:endParaRPr lang="en-IN" sz="1100"/>
        </a:p>
      </xdr:txBody>
    </xdr:sp>
    <xdr:clientData/>
  </xdr:oneCellAnchor>
  <xdr:twoCellAnchor>
    <xdr:from>
      <xdr:col>11</xdr:col>
      <xdr:colOff>28575</xdr:colOff>
      <xdr:row>4</xdr:row>
      <xdr:rowOff>47625</xdr:rowOff>
    </xdr:from>
    <xdr:to>
      <xdr:col>13</xdr:col>
      <xdr:colOff>323850</xdr:colOff>
      <xdr:row>5</xdr:row>
      <xdr:rowOff>133350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E13C5DFC-43CD-4059-A834-6B48CCB94365}"/>
            </a:ext>
          </a:extLst>
        </xdr:cNvPr>
        <xdr:cNvSpPr/>
      </xdr:nvSpPr>
      <xdr:spPr>
        <a:xfrm>
          <a:off x="9429750" y="8096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2381</xdr:colOff>
      <xdr:row>4</xdr:row>
      <xdr:rowOff>57150</xdr:rowOff>
    </xdr:from>
    <xdr:to>
      <xdr:col>13</xdr:col>
      <xdr:colOff>285750</xdr:colOff>
      <xdr:row>5</xdr:row>
      <xdr:rowOff>142875</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5B3A0B1-68D3-43F2-B2B3-B0EA7E7854A9}"/>
            </a:ext>
          </a:extLst>
        </xdr:cNvPr>
        <xdr:cNvSpPr/>
      </xdr:nvSpPr>
      <xdr:spPr>
        <a:xfrm>
          <a:off x="9403556" y="819150"/>
          <a:ext cx="1207294"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AFB9BCCC-7ACD-4874-9ABD-CB8EBEBFDEFE}"/>
            </a:ext>
          </a:extLst>
        </xdr:cNvPr>
        <xdr:cNvSpPr/>
      </xdr:nvSpPr>
      <xdr:spPr>
        <a:xfrm>
          <a:off x="8963025" y="742950"/>
          <a:ext cx="1314450"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8" name="Rectangle 7">
          <a:extLst>
            <a:ext uri="{FF2B5EF4-FFF2-40B4-BE49-F238E27FC236}">
              <a16:creationId xmlns:a16="http://schemas.microsoft.com/office/drawing/2014/main" id="{ABA49C58-3BF6-4399-9709-B142D53F05B6}"/>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9" name="TextBox 8">
          <a:extLst>
            <a:ext uri="{FF2B5EF4-FFF2-40B4-BE49-F238E27FC236}">
              <a16:creationId xmlns:a16="http://schemas.microsoft.com/office/drawing/2014/main" id="{A37D0891-3402-4BF2-A43C-5BF1663E5846}"/>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AC3ED13F-DFE1-48F2-A7CF-244661F8E5FC}"/>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11" name="Picture 10">
          <a:extLst>
            <a:ext uri="{FF2B5EF4-FFF2-40B4-BE49-F238E27FC236}">
              <a16:creationId xmlns:a16="http://schemas.microsoft.com/office/drawing/2014/main" id="{E280267C-03ED-49EF-923B-8F925431C8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2" name="Rectangle 11">
          <a:extLst>
            <a:ext uri="{FF2B5EF4-FFF2-40B4-BE49-F238E27FC236}">
              <a16:creationId xmlns:a16="http://schemas.microsoft.com/office/drawing/2014/main" id="{B0E489DE-0082-424F-8151-2AA9EB7013FC}"/>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3" name="TextBox 12">
          <a:extLst>
            <a:ext uri="{FF2B5EF4-FFF2-40B4-BE49-F238E27FC236}">
              <a16:creationId xmlns:a16="http://schemas.microsoft.com/office/drawing/2014/main" id="{13B41A58-578A-4CD3-BAE3-B7D308CAC416}"/>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5BA32841-4347-41D0-8947-4F28348A26F2}"/>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5" name="Picture 14">
          <a:extLst>
            <a:ext uri="{FF2B5EF4-FFF2-40B4-BE49-F238E27FC236}">
              <a16:creationId xmlns:a16="http://schemas.microsoft.com/office/drawing/2014/main" id="{92100B7A-42C6-4E01-829F-C2DC39406FA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6" name="Rectangle 15">
          <a:extLst>
            <a:ext uri="{FF2B5EF4-FFF2-40B4-BE49-F238E27FC236}">
              <a16:creationId xmlns:a16="http://schemas.microsoft.com/office/drawing/2014/main" id="{3AF5EB60-3D9C-46B9-BFA4-81B6B452AB9B}"/>
            </a:ext>
          </a:extLst>
        </xdr:cNvPr>
        <xdr:cNvSpPr/>
      </xdr:nvSpPr>
      <xdr:spPr>
        <a:xfrm>
          <a:off x="11906" y="23811"/>
          <a:ext cx="1029652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7" name="TextBox 16">
          <a:extLst>
            <a:ext uri="{FF2B5EF4-FFF2-40B4-BE49-F238E27FC236}">
              <a16:creationId xmlns:a16="http://schemas.microsoft.com/office/drawing/2014/main" id="{7A82F698-7C99-4E14-93BD-B37AA541624B}"/>
            </a:ext>
          </a:extLst>
        </xdr:cNvPr>
        <xdr:cNvSpPr txBox="1"/>
      </xdr:nvSpPr>
      <xdr:spPr>
        <a:xfrm>
          <a:off x="59197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6C5E827A-4479-42C6-ABAD-3CF956A2E162}"/>
            </a:ext>
          </a:extLst>
        </xdr:cNvPr>
        <xdr:cNvSpPr/>
      </xdr:nvSpPr>
      <xdr:spPr>
        <a:xfrm>
          <a:off x="9101705" y="795873"/>
          <a:ext cx="12239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19" name="Picture 18">
          <a:extLst>
            <a:ext uri="{FF2B5EF4-FFF2-40B4-BE49-F238E27FC236}">
              <a16:creationId xmlns:a16="http://schemas.microsoft.com/office/drawing/2014/main" id="{1EA339DD-715A-411E-9758-02B8DA462E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0525" y="130970"/>
          <a:ext cx="3519488" cy="1381124"/>
        </a:xfrm>
        <a:prstGeom prst="rect">
          <a:avLst/>
        </a:prstGeom>
      </xdr:spPr>
    </xdr:pic>
    <xdr:clientData/>
  </xdr:oneCellAnchor>
  <xdr:twoCellAnchor>
    <xdr:from>
      <xdr:col>0</xdr:col>
      <xdr:colOff>11906</xdr:colOff>
      <xdr:row>0</xdr:row>
      <xdr:rowOff>23811</xdr:rowOff>
    </xdr:from>
    <xdr:to>
      <xdr:col>15</xdr:col>
      <xdr:colOff>202406</xdr:colOff>
      <xdr:row>8</xdr:row>
      <xdr:rowOff>23812</xdr:rowOff>
    </xdr:to>
    <xdr:sp macro="" textlink="">
      <xdr:nvSpPr>
        <xdr:cNvPr id="20" name="Rectangle 19">
          <a:extLst>
            <a:ext uri="{FF2B5EF4-FFF2-40B4-BE49-F238E27FC236}">
              <a16:creationId xmlns:a16="http://schemas.microsoft.com/office/drawing/2014/main" id="{45FBF415-D004-4356-8AC5-C0341C6A5897}"/>
            </a:ext>
          </a:extLst>
        </xdr:cNvPr>
        <xdr:cNvSpPr/>
      </xdr:nvSpPr>
      <xdr:spPr>
        <a:xfrm>
          <a:off x="11906" y="23811"/>
          <a:ext cx="9036844"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142875</xdr:colOff>
      <xdr:row>1</xdr:row>
      <xdr:rowOff>58577</xdr:rowOff>
    </xdr:from>
    <xdr:ext cx="4048124" cy="1015365"/>
    <xdr:sp macro="" textlink="">
      <xdr:nvSpPr>
        <xdr:cNvPr id="21" name="TextBox 20">
          <a:extLst>
            <a:ext uri="{FF2B5EF4-FFF2-40B4-BE49-F238E27FC236}">
              <a16:creationId xmlns:a16="http://schemas.microsoft.com/office/drawing/2014/main" id="{114B6F61-2857-4881-91F8-A9A56D3E53FE}"/>
            </a:ext>
          </a:extLst>
        </xdr:cNvPr>
        <xdr:cNvSpPr txBox="1"/>
      </xdr:nvSpPr>
      <xdr:spPr>
        <a:xfrm>
          <a:off x="3524250" y="249077"/>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Risk</a:t>
          </a:r>
          <a:r>
            <a:rPr lang="en-IN" sz="1400" b="1" baseline="0">
              <a:solidFill>
                <a:sysClr val="windowText" lastClr="000000"/>
              </a:solidFill>
            </a:rPr>
            <a:t> Free Rates Chart</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oneCellAnchor>
    <xdr:from>
      <xdr:col>0</xdr:col>
      <xdr:colOff>0</xdr:colOff>
      <xdr:row>0</xdr:row>
      <xdr:rowOff>95251</xdr:rowOff>
    </xdr:from>
    <xdr:ext cx="3524251" cy="1381124"/>
    <xdr:pic>
      <xdr:nvPicPr>
        <xdr:cNvPr id="23" name="Picture 22">
          <a:extLst>
            <a:ext uri="{FF2B5EF4-FFF2-40B4-BE49-F238E27FC236}">
              <a16:creationId xmlns:a16="http://schemas.microsoft.com/office/drawing/2014/main" id="{F5BC9350-B16A-42C6-B333-D840F65BA6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95251"/>
          <a:ext cx="3524251" cy="138112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2</xdr:col>
      <xdr:colOff>857250</xdr:colOff>
      <xdr:row>2</xdr:row>
      <xdr:rowOff>247650</xdr:rowOff>
    </xdr:from>
    <xdr:to>
      <xdr:col>8</xdr:col>
      <xdr:colOff>38513</xdr:colOff>
      <xdr:row>25</xdr:row>
      <xdr:rowOff>145140</xdr:rowOff>
    </xdr:to>
    <xdr:pic>
      <xdr:nvPicPr>
        <xdr:cNvPr id="2" name="Picture 1">
          <a:extLst>
            <a:ext uri="{FF2B5EF4-FFF2-40B4-BE49-F238E27FC236}">
              <a16:creationId xmlns:a16="http://schemas.microsoft.com/office/drawing/2014/main" id="{C9081A5C-12EE-7AB9-B385-D53F77A5FD96}"/>
            </a:ext>
          </a:extLst>
        </xdr:cNvPr>
        <xdr:cNvPicPr>
          <a:picLocks noChangeAspect="1"/>
        </xdr:cNvPicPr>
      </xdr:nvPicPr>
      <xdr:blipFill>
        <a:blip xmlns:r="http://schemas.openxmlformats.org/officeDocument/2006/relationships" r:embed="rId1"/>
        <a:stretch>
          <a:fillRect/>
        </a:stretch>
      </xdr:blipFill>
      <xdr:spPr>
        <a:xfrm>
          <a:off x="2076450" y="609600"/>
          <a:ext cx="4762913" cy="4136115"/>
        </a:xfrm>
        <a:prstGeom prst="rect">
          <a:avLst/>
        </a:prstGeom>
      </xdr:spPr>
    </xdr:pic>
    <xdr:clientData/>
  </xdr:twoCellAnchor>
  <xdr:twoCellAnchor>
    <xdr:from>
      <xdr:col>2</xdr:col>
      <xdr:colOff>1043940</xdr:colOff>
      <xdr:row>57</xdr:row>
      <xdr:rowOff>158115</xdr:rowOff>
    </xdr:from>
    <xdr:to>
      <xdr:col>7</xdr:col>
      <xdr:colOff>704850</xdr:colOff>
      <xdr:row>72</xdr:row>
      <xdr:rowOff>158115</xdr:rowOff>
    </xdr:to>
    <xdr:graphicFrame macro="">
      <xdr:nvGraphicFramePr>
        <xdr:cNvPr id="14" name="Chart 13">
          <a:extLst>
            <a:ext uri="{FF2B5EF4-FFF2-40B4-BE49-F238E27FC236}">
              <a16:creationId xmlns:a16="http://schemas.microsoft.com/office/drawing/2014/main" id="{EB20FBDC-64DE-6503-CDFD-796E6C3CB9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1</xdr:colOff>
      <xdr:row>50</xdr:row>
      <xdr:rowOff>0</xdr:rowOff>
    </xdr:from>
    <xdr:to>
      <xdr:col>6</xdr:col>
      <xdr:colOff>30481</xdr:colOff>
      <xdr:row>57</xdr:row>
      <xdr:rowOff>144903</xdr:rowOff>
    </xdr:to>
    <xdr:pic>
      <xdr:nvPicPr>
        <xdr:cNvPr id="15" name="Picture 14">
          <a:extLst>
            <a:ext uri="{FF2B5EF4-FFF2-40B4-BE49-F238E27FC236}">
              <a16:creationId xmlns:a16="http://schemas.microsoft.com/office/drawing/2014/main" id="{617C7002-D7E9-60B2-10DB-82CB78876F75}"/>
            </a:ext>
          </a:extLst>
        </xdr:cNvPr>
        <xdr:cNvPicPr>
          <a:picLocks noChangeAspect="1"/>
        </xdr:cNvPicPr>
      </xdr:nvPicPr>
      <xdr:blipFill>
        <a:blip xmlns:r="http://schemas.openxmlformats.org/officeDocument/2006/relationships" r:embed="rId3"/>
        <a:stretch>
          <a:fillRect/>
        </a:stretch>
      </xdr:blipFill>
      <xdr:spPr>
        <a:xfrm>
          <a:off x="1219201" y="9410700"/>
          <a:ext cx="4251960" cy="1425063"/>
        </a:xfrm>
        <a:prstGeom prst="rect">
          <a:avLst/>
        </a:prstGeom>
      </xdr:spPr>
    </xdr:pic>
    <xdr:clientData/>
  </xdr:twoCellAnchor>
  <xdr:twoCellAnchor editAs="oneCell">
    <xdr:from>
      <xdr:col>11</xdr:col>
      <xdr:colOff>0</xdr:colOff>
      <xdr:row>3</xdr:row>
      <xdr:rowOff>0</xdr:rowOff>
    </xdr:from>
    <xdr:to>
      <xdr:col>14</xdr:col>
      <xdr:colOff>787156</xdr:colOff>
      <xdr:row>33</xdr:row>
      <xdr:rowOff>160513</xdr:rowOff>
    </xdr:to>
    <xdr:pic>
      <xdr:nvPicPr>
        <xdr:cNvPr id="3" name="Picture 2">
          <a:extLst>
            <a:ext uri="{FF2B5EF4-FFF2-40B4-BE49-F238E27FC236}">
              <a16:creationId xmlns:a16="http://schemas.microsoft.com/office/drawing/2014/main" id="{6EE47FC2-A78F-9793-6EA2-1D0A3E49D12D}"/>
            </a:ext>
          </a:extLst>
        </xdr:cNvPr>
        <xdr:cNvPicPr>
          <a:picLocks noChangeAspect="1"/>
        </xdr:cNvPicPr>
      </xdr:nvPicPr>
      <xdr:blipFill>
        <a:blip xmlns:r="http://schemas.openxmlformats.org/officeDocument/2006/relationships" r:embed="rId4"/>
        <a:stretch>
          <a:fillRect/>
        </a:stretch>
      </xdr:blipFill>
      <xdr:spPr>
        <a:xfrm>
          <a:off x="8924925" y="619125"/>
          <a:ext cx="4511431" cy="5685013"/>
        </a:xfrm>
        <a:prstGeom prst="rect">
          <a:avLst/>
        </a:prstGeom>
      </xdr:spPr>
    </xdr:pic>
    <xdr:clientData/>
  </xdr:twoCellAnchor>
  <xdr:twoCellAnchor editAs="oneCell">
    <xdr:from>
      <xdr:col>17</xdr:col>
      <xdr:colOff>142875</xdr:colOff>
      <xdr:row>3</xdr:row>
      <xdr:rowOff>0</xdr:rowOff>
    </xdr:from>
    <xdr:to>
      <xdr:col>21</xdr:col>
      <xdr:colOff>265169</xdr:colOff>
      <xdr:row>32</xdr:row>
      <xdr:rowOff>91910</xdr:rowOff>
    </xdr:to>
    <xdr:pic>
      <xdr:nvPicPr>
        <xdr:cNvPr id="4" name="Picture 3">
          <a:extLst>
            <a:ext uri="{FF2B5EF4-FFF2-40B4-BE49-F238E27FC236}">
              <a16:creationId xmlns:a16="http://schemas.microsoft.com/office/drawing/2014/main" id="{72CE2958-6292-78B5-E3EC-8A44B25D607D}"/>
            </a:ext>
          </a:extLst>
        </xdr:cNvPr>
        <xdr:cNvPicPr>
          <a:picLocks noChangeAspect="1"/>
        </xdr:cNvPicPr>
      </xdr:nvPicPr>
      <xdr:blipFill>
        <a:blip xmlns:r="http://schemas.openxmlformats.org/officeDocument/2006/relationships" r:embed="rId5"/>
        <a:stretch>
          <a:fillRect/>
        </a:stretch>
      </xdr:blipFill>
      <xdr:spPr>
        <a:xfrm>
          <a:off x="15059025" y="619125"/>
          <a:ext cx="4313294" cy="5425910"/>
        </a:xfrm>
        <a:prstGeom prst="rect">
          <a:avLst/>
        </a:prstGeom>
      </xdr:spPr>
    </xdr:pic>
    <xdr:clientData/>
  </xdr:twoCellAnchor>
  <xdr:twoCellAnchor editAs="oneCell">
    <xdr:from>
      <xdr:col>24</xdr:col>
      <xdr:colOff>9525</xdr:colOff>
      <xdr:row>3</xdr:row>
      <xdr:rowOff>0</xdr:rowOff>
    </xdr:from>
    <xdr:to>
      <xdr:col>29</xdr:col>
      <xdr:colOff>476607</xdr:colOff>
      <xdr:row>31</xdr:row>
      <xdr:rowOff>175721</xdr:rowOff>
    </xdr:to>
    <xdr:pic>
      <xdr:nvPicPr>
        <xdr:cNvPr id="5" name="Picture 4">
          <a:extLst>
            <a:ext uri="{FF2B5EF4-FFF2-40B4-BE49-F238E27FC236}">
              <a16:creationId xmlns:a16="http://schemas.microsoft.com/office/drawing/2014/main" id="{151205AA-DFB1-F09F-D342-347BA6360647}"/>
            </a:ext>
          </a:extLst>
        </xdr:cNvPr>
        <xdr:cNvPicPr>
          <a:picLocks noChangeAspect="1"/>
        </xdr:cNvPicPr>
      </xdr:nvPicPr>
      <xdr:blipFill>
        <a:blip xmlns:r="http://schemas.openxmlformats.org/officeDocument/2006/relationships" r:embed="rId6"/>
        <a:stretch>
          <a:fillRect/>
        </a:stretch>
      </xdr:blipFill>
      <xdr:spPr>
        <a:xfrm>
          <a:off x="20945475" y="619125"/>
          <a:ext cx="4115157" cy="5319221"/>
        </a:xfrm>
        <a:prstGeom prst="rect">
          <a:avLst/>
        </a:prstGeom>
      </xdr:spPr>
    </xdr:pic>
    <xdr:clientData/>
  </xdr:twoCellAnchor>
  <xdr:twoCellAnchor editAs="oneCell">
    <xdr:from>
      <xdr:col>11</xdr:col>
      <xdr:colOff>0</xdr:colOff>
      <xdr:row>38</xdr:row>
      <xdr:rowOff>0</xdr:rowOff>
    </xdr:from>
    <xdr:to>
      <xdr:col>15</xdr:col>
      <xdr:colOff>95653</xdr:colOff>
      <xdr:row>68</xdr:row>
      <xdr:rowOff>171935</xdr:rowOff>
    </xdr:to>
    <xdr:pic>
      <xdr:nvPicPr>
        <xdr:cNvPr id="7" name="Picture 6">
          <a:extLst>
            <a:ext uri="{FF2B5EF4-FFF2-40B4-BE49-F238E27FC236}">
              <a16:creationId xmlns:a16="http://schemas.microsoft.com/office/drawing/2014/main" id="{13D4CCAE-B5E1-5CF0-6650-671008320B59}"/>
            </a:ext>
          </a:extLst>
        </xdr:cNvPr>
        <xdr:cNvPicPr>
          <a:picLocks noChangeAspect="1"/>
        </xdr:cNvPicPr>
      </xdr:nvPicPr>
      <xdr:blipFill>
        <a:blip xmlns:r="http://schemas.openxmlformats.org/officeDocument/2006/relationships" r:embed="rId7"/>
        <a:stretch>
          <a:fillRect/>
        </a:stretch>
      </xdr:blipFill>
      <xdr:spPr>
        <a:xfrm>
          <a:off x="8924925" y="7067550"/>
          <a:ext cx="4648603" cy="5601185"/>
        </a:xfrm>
        <a:prstGeom prst="rect">
          <a:avLst/>
        </a:prstGeom>
      </xdr:spPr>
    </xdr:pic>
    <xdr:clientData/>
  </xdr:twoCellAnchor>
  <xdr:twoCellAnchor editAs="oneCell">
    <xdr:from>
      <xdr:col>11</xdr:col>
      <xdr:colOff>0</xdr:colOff>
      <xdr:row>71</xdr:row>
      <xdr:rowOff>0</xdr:rowOff>
    </xdr:from>
    <xdr:to>
      <xdr:col>15</xdr:col>
      <xdr:colOff>685800</xdr:colOff>
      <xdr:row>90</xdr:row>
      <xdr:rowOff>82220</xdr:rowOff>
    </xdr:to>
    <xdr:pic>
      <xdr:nvPicPr>
        <xdr:cNvPr id="8" name="Picture 7">
          <a:extLst>
            <a:ext uri="{FF2B5EF4-FFF2-40B4-BE49-F238E27FC236}">
              <a16:creationId xmlns:a16="http://schemas.microsoft.com/office/drawing/2014/main" id="{9B998FEA-609E-B230-72A6-B8FB7C46DDB5}"/>
            </a:ext>
          </a:extLst>
        </xdr:cNvPr>
        <xdr:cNvPicPr>
          <a:picLocks noChangeAspect="1"/>
        </xdr:cNvPicPr>
      </xdr:nvPicPr>
      <xdr:blipFill>
        <a:blip xmlns:r="http://schemas.openxmlformats.org/officeDocument/2006/relationships" r:embed="rId8"/>
        <a:stretch>
          <a:fillRect/>
        </a:stretch>
      </xdr:blipFill>
      <xdr:spPr>
        <a:xfrm>
          <a:off x="8924925" y="13039725"/>
          <a:ext cx="5238750" cy="3520745"/>
        </a:xfrm>
        <a:prstGeom prst="rect">
          <a:avLst/>
        </a:prstGeom>
      </xdr:spPr>
    </xdr:pic>
    <xdr:clientData/>
  </xdr:twoCellAnchor>
  <xdr:twoCellAnchor editAs="oneCell">
    <xdr:from>
      <xdr:col>17</xdr:col>
      <xdr:colOff>0</xdr:colOff>
      <xdr:row>36</xdr:row>
      <xdr:rowOff>0</xdr:rowOff>
    </xdr:from>
    <xdr:to>
      <xdr:col>21</xdr:col>
      <xdr:colOff>305190</xdr:colOff>
      <xdr:row>66</xdr:row>
      <xdr:rowOff>65246</xdr:rowOff>
    </xdr:to>
    <xdr:pic>
      <xdr:nvPicPr>
        <xdr:cNvPr id="10" name="Picture 9">
          <a:extLst>
            <a:ext uri="{FF2B5EF4-FFF2-40B4-BE49-F238E27FC236}">
              <a16:creationId xmlns:a16="http://schemas.microsoft.com/office/drawing/2014/main" id="{54D9B7DD-59CB-62B2-CC3E-F5AE5619EFC7}"/>
            </a:ext>
          </a:extLst>
        </xdr:cNvPr>
        <xdr:cNvPicPr>
          <a:picLocks noChangeAspect="1"/>
        </xdr:cNvPicPr>
      </xdr:nvPicPr>
      <xdr:blipFill>
        <a:blip xmlns:r="http://schemas.openxmlformats.org/officeDocument/2006/relationships" r:embed="rId9"/>
        <a:stretch>
          <a:fillRect/>
        </a:stretch>
      </xdr:blipFill>
      <xdr:spPr>
        <a:xfrm>
          <a:off x="14916150" y="6705600"/>
          <a:ext cx="4496190" cy="5494496"/>
        </a:xfrm>
        <a:prstGeom prst="rect">
          <a:avLst/>
        </a:prstGeom>
      </xdr:spPr>
    </xdr:pic>
    <xdr:clientData/>
  </xdr:twoCellAnchor>
  <xdr:twoCellAnchor editAs="oneCell">
    <xdr:from>
      <xdr:col>17</xdr:col>
      <xdr:colOff>1</xdr:colOff>
      <xdr:row>71</xdr:row>
      <xdr:rowOff>179225</xdr:rowOff>
    </xdr:from>
    <xdr:to>
      <xdr:col>22</xdr:col>
      <xdr:colOff>514350</xdr:colOff>
      <xdr:row>90</xdr:row>
      <xdr:rowOff>34575</xdr:rowOff>
    </xdr:to>
    <xdr:pic>
      <xdr:nvPicPr>
        <xdr:cNvPr id="11" name="Picture 10">
          <a:extLst>
            <a:ext uri="{FF2B5EF4-FFF2-40B4-BE49-F238E27FC236}">
              <a16:creationId xmlns:a16="http://schemas.microsoft.com/office/drawing/2014/main" id="{549BAFE5-FD6C-6D2E-9787-C66317E43934}"/>
            </a:ext>
          </a:extLst>
        </xdr:cNvPr>
        <xdr:cNvPicPr>
          <a:picLocks noChangeAspect="1"/>
        </xdr:cNvPicPr>
      </xdr:nvPicPr>
      <xdr:blipFill>
        <a:blip xmlns:r="http://schemas.openxmlformats.org/officeDocument/2006/relationships" r:embed="rId10"/>
        <a:stretch>
          <a:fillRect/>
        </a:stretch>
      </xdr:blipFill>
      <xdr:spPr>
        <a:xfrm>
          <a:off x="14916151" y="13218950"/>
          <a:ext cx="5314949" cy="3293875"/>
        </a:xfrm>
        <a:prstGeom prst="rect">
          <a:avLst/>
        </a:prstGeom>
      </xdr:spPr>
    </xdr:pic>
    <xdr:clientData/>
  </xdr:twoCellAnchor>
  <xdr:twoCellAnchor editAs="oneCell">
    <xdr:from>
      <xdr:col>24</xdr:col>
      <xdr:colOff>0</xdr:colOff>
      <xdr:row>72</xdr:row>
      <xdr:rowOff>15016</xdr:rowOff>
    </xdr:from>
    <xdr:to>
      <xdr:col>33</xdr:col>
      <xdr:colOff>561975</xdr:colOff>
      <xdr:row>91</xdr:row>
      <xdr:rowOff>38417</xdr:rowOff>
    </xdr:to>
    <xdr:pic>
      <xdr:nvPicPr>
        <xdr:cNvPr id="12" name="Picture 11">
          <a:extLst>
            <a:ext uri="{FF2B5EF4-FFF2-40B4-BE49-F238E27FC236}">
              <a16:creationId xmlns:a16="http://schemas.microsoft.com/office/drawing/2014/main" id="{96005C00-1975-E646-D789-71265D6C6E44}"/>
            </a:ext>
          </a:extLst>
        </xdr:cNvPr>
        <xdr:cNvPicPr>
          <a:picLocks noChangeAspect="1"/>
        </xdr:cNvPicPr>
      </xdr:nvPicPr>
      <xdr:blipFill>
        <a:blip xmlns:r="http://schemas.openxmlformats.org/officeDocument/2006/relationships" r:embed="rId11"/>
        <a:stretch>
          <a:fillRect/>
        </a:stretch>
      </xdr:blipFill>
      <xdr:spPr>
        <a:xfrm>
          <a:off x="20935950" y="13235716"/>
          <a:ext cx="6648450" cy="3461926"/>
        </a:xfrm>
        <a:prstGeom prst="rect">
          <a:avLst/>
        </a:prstGeom>
      </xdr:spPr>
    </xdr:pic>
    <xdr:clientData/>
  </xdr:twoCellAnchor>
  <xdr:twoCellAnchor editAs="oneCell">
    <xdr:from>
      <xdr:col>24</xdr:col>
      <xdr:colOff>0</xdr:colOff>
      <xdr:row>34</xdr:row>
      <xdr:rowOff>0</xdr:rowOff>
    </xdr:from>
    <xdr:to>
      <xdr:col>30</xdr:col>
      <xdr:colOff>314721</xdr:colOff>
      <xdr:row>63</xdr:row>
      <xdr:rowOff>160490</xdr:rowOff>
    </xdr:to>
    <xdr:pic>
      <xdr:nvPicPr>
        <xdr:cNvPr id="16" name="Picture 15">
          <a:extLst>
            <a:ext uri="{FF2B5EF4-FFF2-40B4-BE49-F238E27FC236}">
              <a16:creationId xmlns:a16="http://schemas.microsoft.com/office/drawing/2014/main" id="{5A1291F3-A8F8-ED2B-62D7-04BBB302C82C}"/>
            </a:ext>
          </a:extLst>
        </xdr:cNvPr>
        <xdr:cNvPicPr>
          <a:picLocks noChangeAspect="1"/>
        </xdr:cNvPicPr>
      </xdr:nvPicPr>
      <xdr:blipFill>
        <a:blip xmlns:r="http://schemas.openxmlformats.org/officeDocument/2006/relationships" r:embed="rId12"/>
        <a:stretch>
          <a:fillRect/>
        </a:stretch>
      </xdr:blipFill>
      <xdr:spPr>
        <a:xfrm>
          <a:off x="20935950" y="6334125"/>
          <a:ext cx="4572396" cy="5418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209550</xdr:rowOff>
    </xdr:from>
    <xdr:to>
      <xdr:col>9</xdr:col>
      <xdr:colOff>674370</xdr:colOff>
      <xdr:row>2</xdr:row>
      <xdr:rowOff>0</xdr:rowOff>
    </xdr:to>
    <xdr:sp macro="" textlink="">
      <xdr:nvSpPr>
        <xdr:cNvPr id="51" name="Rectangle 50">
          <a:hlinkClick xmlns:r="http://schemas.openxmlformats.org/officeDocument/2006/relationships" r:id="rId1"/>
          <a:extLst>
            <a:ext uri="{FF2B5EF4-FFF2-40B4-BE49-F238E27FC236}">
              <a16:creationId xmlns:a16="http://schemas.microsoft.com/office/drawing/2014/main" id="{6D5D0F12-45A4-486C-87D6-D61884C9BCDE}"/>
            </a:ext>
          </a:extLst>
        </xdr:cNvPr>
        <xdr:cNvSpPr/>
      </xdr:nvSpPr>
      <xdr:spPr>
        <a:xfrm>
          <a:off x="95250" y="800100"/>
          <a:ext cx="8208645" cy="3376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1          Business Summary…..............................................................................................</a:t>
          </a:r>
          <a:r>
            <a:rPr lang="en-IN" sz="1400" b="1" i="0" u="sng" strike="noStrike">
              <a:solidFill>
                <a:sysClr val="windowText" lastClr="000000"/>
              </a:solidFill>
              <a:effectLst/>
              <a:latin typeface="+mn-lt"/>
              <a:ea typeface="+mn-ea"/>
              <a:cs typeface="+mn-cs"/>
            </a:rPr>
            <a:t>Exhibit 1</a:t>
          </a:r>
        </a:p>
        <a:p>
          <a:pPr algn="l"/>
          <a:endParaRPr lang="en-IN" sz="1400" b="1" i="0" u="none" strike="noStrike">
            <a:solidFill>
              <a:sysClr val="windowText" lastClr="000000"/>
            </a:solidFill>
            <a:effectLst/>
            <a:latin typeface="+mn-lt"/>
            <a:ea typeface="+mn-ea"/>
            <a:cs typeface="+mn-cs"/>
          </a:endParaRPr>
        </a:p>
        <a:p>
          <a:pPr algn="l"/>
          <a:endParaRPr lang="en-IN" sz="1400" b="1" i="0" u="none" strike="noStrike">
            <a:solidFill>
              <a:sysClr val="windowText" lastClr="000000"/>
            </a:solidFill>
            <a:effectLst/>
            <a:latin typeface="+mn-lt"/>
            <a:ea typeface="+mn-ea"/>
            <a:cs typeface="+mn-cs"/>
          </a:endParaRPr>
        </a:p>
        <a:p>
          <a:pPr algn="l"/>
          <a:r>
            <a:rPr lang="en-IN" sz="1400" b="1" i="0" u="none" strike="noStrike">
              <a:solidFill>
                <a:sysClr val="windowText" lastClr="000000"/>
              </a:solidFill>
              <a:effectLst/>
              <a:latin typeface="+mn-lt"/>
              <a:ea typeface="+mn-ea"/>
              <a:cs typeface="+mn-cs"/>
            </a:rPr>
            <a:t>  </a:t>
          </a:r>
          <a:endParaRPr lang="en-IN" sz="1400">
            <a:solidFill>
              <a:srgbClr val="FF0000"/>
            </a:solidFill>
          </a:endParaRPr>
        </a:p>
      </xdr:txBody>
    </xdr:sp>
    <xdr:clientData/>
  </xdr:twoCellAnchor>
  <xdr:twoCellAnchor editAs="oneCell">
    <xdr:from>
      <xdr:col>0</xdr:col>
      <xdr:colOff>1</xdr:colOff>
      <xdr:row>0</xdr:row>
      <xdr:rowOff>23812</xdr:rowOff>
    </xdr:from>
    <xdr:to>
      <xdr:col>13</xdr:col>
      <xdr:colOff>1</xdr:colOff>
      <xdr:row>50</xdr:row>
      <xdr:rowOff>185737</xdr:rowOff>
    </xdr:to>
    <xdr:pic>
      <xdr:nvPicPr>
        <xdr:cNvPr id="28" name="Picture 27" descr="Colgate Palmolive loses early gains after Rs 170-crore tax liability notice">
          <a:extLst>
            <a:ext uri="{FF2B5EF4-FFF2-40B4-BE49-F238E27FC236}">
              <a16:creationId xmlns:a16="http://schemas.microsoft.com/office/drawing/2014/main" id="{0BC3AC4A-0329-4AF2-92E7-621695930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23812"/>
          <a:ext cx="10439400" cy="1046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91440</xdr:colOff>
      <xdr:row>4</xdr:row>
      <xdr:rowOff>91441</xdr:rowOff>
    </xdr:from>
    <xdr:to>
      <xdr:col>9</xdr:col>
      <xdr:colOff>670560</xdr:colOff>
      <xdr:row>5</xdr:row>
      <xdr:rowOff>200526</xdr:rowOff>
    </xdr:to>
    <xdr:sp macro="" textlink="">
      <xdr:nvSpPr>
        <xdr:cNvPr id="29" name="Rectangle 28">
          <a:extLst>
            <a:ext uri="{FF2B5EF4-FFF2-40B4-BE49-F238E27FC236}">
              <a16:creationId xmlns:a16="http://schemas.microsoft.com/office/drawing/2014/main" id="{8B97294D-9777-4B3C-9124-CDA13C86378C}"/>
            </a:ext>
          </a:extLst>
        </xdr:cNvPr>
        <xdr:cNvSpPr/>
      </xdr:nvSpPr>
      <xdr:spPr>
        <a:xfrm>
          <a:off x="91440" y="1748791"/>
          <a:ext cx="7951470" cy="3472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a:solidFill>
              <a:srgbClr val="FF0000"/>
            </a:solidFill>
          </a:endParaRPr>
        </a:p>
      </xdr:txBody>
    </xdr:sp>
    <xdr:clientData/>
  </xdr:twoCellAnchor>
  <xdr:twoCellAnchor>
    <xdr:from>
      <xdr:col>0</xdr:col>
      <xdr:colOff>91440</xdr:colOff>
      <xdr:row>5</xdr:row>
      <xdr:rowOff>129678</xdr:rowOff>
    </xdr:from>
    <xdr:to>
      <xdr:col>9</xdr:col>
      <xdr:colOff>670560</xdr:colOff>
      <xdr:row>11</xdr:row>
      <xdr:rowOff>0</xdr:rowOff>
    </xdr:to>
    <xdr:sp macro="" textlink="">
      <xdr:nvSpPr>
        <xdr:cNvPr id="30" name="Rectangle 29">
          <a:extLst>
            <a:ext uri="{FF2B5EF4-FFF2-40B4-BE49-F238E27FC236}">
              <a16:creationId xmlns:a16="http://schemas.microsoft.com/office/drawing/2014/main" id="{6616A1B5-AE62-4A21-A097-A3F878E743F5}"/>
            </a:ext>
          </a:extLst>
        </xdr:cNvPr>
        <xdr:cNvSpPr/>
      </xdr:nvSpPr>
      <xdr:spPr>
        <a:xfrm>
          <a:off x="91440" y="2025153"/>
          <a:ext cx="7951470" cy="129907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400">
            <a:solidFill>
              <a:srgbClr val="FF0000"/>
            </a:solidFill>
          </a:endParaRPr>
        </a:p>
      </xdr:txBody>
    </xdr:sp>
    <xdr:clientData/>
  </xdr:twoCellAnchor>
  <xdr:twoCellAnchor>
    <xdr:from>
      <xdr:col>0</xdr:col>
      <xdr:colOff>91440</xdr:colOff>
      <xdr:row>11</xdr:row>
      <xdr:rowOff>0</xdr:rowOff>
    </xdr:from>
    <xdr:to>
      <xdr:col>9</xdr:col>
      <xdr:colOff>670560</xdr:colOff>
      <xdr:row>11</xdr:row>
      <xdr:rowOff>150800</xdr:rowOff>
    </xdr:to>
    <xdr:sp macro="" textlink="">
      <xdr:nvSpPr>
        <xdr:cNvPr id="31" name="Rectangle 30">
          <a:extLst>
            <a:ext uri="{FF2B5EF4-FFF2-40B4-BE49-F238E27FC236}">
              <a16:creationId xmlns:a16="http://schemas.microsoft.com/office/drawing/2014/main" id="{ECEAD2FF-6EF8-4788-9FDF-EDE1CFC89CAD}"/>
            </a:ext>
          </a:extLst>
        </xdr:cNvPr>
        <xdr:cNvSpPr/>
      </xdr:nvSpPr>
      <xdr:spPr>
        <a:xfrm>
          <a:off x="91440" y="3324225"/>
          <a:ext cx="7951470" cy="150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91440</xdr:colOff>
      <xdr:row>19</xdr:row>
      <xdr:rowOff>45458</xdr:rowOff>
    </xdr:from>
    <xdr:to>
      <xdr:col>9</xdr:col>
      <xdr:colOff>670560</xdr:colOff>
      <xdr:row>20</xdr:row>
      <xdr:rowOff>106418</xdr:rowOff>
    </xdr:to>
    <xdr:sp macro="" textlink="">
      <xdr:nvSpPr>
        <xdr:cNvPr id="32" name="Rectangle 31">
          <a:extLst>
            <a:ext uri="{FF2B5EF4-FFF2-40B4-BE49-F238E27FC236}">
              <a16:creationId xmlns:a16="http://schemas.microsoft.com/office/drawing/2014/main" id="{85D7D1D1-E64A-4FAF-9EE3-AFF8F76E746D}"/>
            </a:ext>
          </a:extLst>
        </xdr:cNvPr>
        <xdr:cNvSpPr/>
      </xdr:nvSpPr>
      <xdr:spPr>
        <a:xfrm>
          <a:off x="91440" y="5274683"/>
          <a:ext cx="7951470" cy="2990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xdr:txBody>
    </xdr:sp>
    <xdr:clientData/>
  </xdr:twoCellAnchor>
  <xdr:twoCellAnchor>
    <xdr:from>
      <xdr:col>0</xdr:col>
      <xdr:colOff>106680</xdr:colOff>
      <xdr:row>28</xdr:row>
      <xdr:rowOff>104546</xdr:rowOff>
    </xdr:from>
    <xdr:to>
      <xdr:col>9</xdr:col>
      <xdr:colOff>685800</xdr:colOff>
      <xdr:row>30</xdr:row>
      <xdr:rowOff>28346</xdr:rowOff>
    </xdr:to>
    <xdr:sp macro="" textlink="">
      <xdr:nvSpPr>
        <xdr:cNvPr id="33" name="Rectangle 32">
          <a:extLst>
            <a:ext uri="{FF2B5EF4-FFF2-40B4-BE49-F238E27FC236}">
              <a16:creationId xmlns:a16="http://schemas.microsoft.com/office/drawing/2014/main" id="{68D96CD3-2503-42DE-BABF-08740AC01C7B}"/>
            </a:ext>
          </a:extLst>
        </xdr:cNvPr>
        <xdr:cNvSpPr/>
      </xdr:nvSpPr>
      <xdr:spPr>
        <a:xfrm>
          <a:off x="106680" y="7476896"/>
          <a:ext cx="795147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91440</xdr:colOff>
      <xdr:row>11</xdr:row>
      <xdr:rowOff>102934</xdr:rowOff>
    </xdr:from>
    <xdr:to>
      <xdr:col>9</xdr:col>
      <xdr:colOff>670560</xdr:colOff>
      <xdr:row>13</xdr:row>
      <xdr:rowOff>26734</xdr:rowOff>
    </xdr:to>
    <xdr:sp macro="" textlink="">
      <xdr:nvSpPr>
        <xdr:cNvPr id="34" name="Rectangle 33">
          <a:hlinkClick xmlns:r="http://schemas.openxmlformats.org/officeDocument/2006/relationships" r:id="rId3"/>
          <a:extLst>
            <a:ext uri="{FF2B5EF4-FFF2-40B4-BE49-F238E27FC236}">
              <a16:creationId xmlns:a16="http://schemas.microsoft.com/office/drawing/2014/main" id="{09201A6F-8AA1-4635-AB38-3570FB9E2E53}"/>
            </a:ext>
          </a:extLst>
        </xdr:cNvPr>
        <xdr:cNvSpPr/>
      </xdr:nvSpPr>
      <xdr:spPr>
        <a:xfrm>
          <a:off x="91440" y="3427159"/>
          <a:ext cx="795147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r>
            <a:rPr lang="en-IN" sz="1400" b="1">
              <a:solidFill>
                <a:sysClr val="windowText" lastClr="000000"/>
              </a:solidFill>
            </a:rPr>
            <a:t>                                             </a:t>
          </a:r>
          <a:endParaRPr lang="en-IN" sz="1400" b="1" i="0" u="none" strike="noStrike">
            <a:solidFill>
              <a:sysClr val="windowText" lastClr="000000"/>
            </a:solidFill>
            <a:effectLst/>
            <a:latin typeface="+mn-lt"/>
            <a:ea typeface="+mn-ea"/>
            <a:cs typeface="+mn-cs"/>
          </a:endParaRP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115252</xdr:colOff>
      <xdr:row>13</xdr:row>
      <xdr:rowOff>72454</xdr:rowOff>
    </xdr:from>
    <xdr:to>
      <xdr:col>9</xdr:col>
      <xdr:colOff>694372</xdr:colOff>
      <xdr:row>14</xdr:row>
      <xdr:rowOff>179135</xdr:rowOff>
    </xdr:to>
    <xdr:sp macro="" textlink="">
      <xdr:nvSpPr>
        <xdr:cNvPr id="35" name="Rectangle 34">
          <a:hlinkClick xmlns:r="http://schemas.openxmlformats.org/officeDocument/2006/relationships" r:id="rId4"/>
          <a:extLst>
            <a:ext uri="{FF2B5EF4-FFF2-40B4-BE49-F238E27FC236}">
              <a16:creationId xmlns:a16="http://schemas.microsoft.com/office/drawing/2014/main" id="{1C27DBB3-9FD0-4CB3-A03B-5CAF7741DFD6}"/>
            </a:ext>
          </a:extLst>
        </xdr:cNvPr>
        <xdr:cNvSpPr/>
      </xdr:nvSpPr>
      <xdr:spPr>
        <a:xfrm>
          <a:off x="115252" y="3872929"/>
          <a:ext cx="7951470" cy="3448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91440</xdr:colOff>
      <xdr:row>14</xdr:row>
      <xdr:rowOff>224855</xdr:rowOff>
    </xdr:from>
    <xdr:to>
      <xdr:col>9</xdr:col>
      <xdr:colOff>670560</xdr:colOff>
      <xdr:row>19</xdr:row>
      <xdr:rowOff>133414</xdr:rowOff>
    </xdr:to>
    <xdr:sp macro="" textlink="">
      <xdr:nvSpPr>
        <xdr:cNvPr id="36" name="Rectangle 35">
          <a:hlinkClick xmlns:r="http://schemas.openxmlformats.org/officeDocument/2006/relationships" r:id="rId5"/>
          <a:extLst>
            <a:ext uri="{FF2B5EF4-FFF2-40B4-BE49-F238E27FC236}">
              <a16:creationId xmlns:a16="http://schemas.microsoft.com/office/drawing/2014/main" id="{7878BC95-E2CF-4C46-B3EC-2F36FCE6BDC9}"/>
            </a:ext>
          </a:extLst>
        </xdr:cNvPr>
        <xdr:cNvSpPr/>
      </xdr:nvSpPr>
      <xdr:spPr>
        <a:xfrm>
          <a:off x="91440" y="4263455"/>
          <a:ext cx="7951470" cy="10991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a:p>
          <a:pPr algn="l"/>
          <a:endParaRPr lang="en-IN" sz="1400" b="1" i="0" u="none" strike="noStrike">
            <a:solidFill>
              <a:sysClr val="windowText" lastClr="000000"/>
            </a:solidFill>
            <a:effectLst/>
            <a:latin typeface="+mn-lt"/>
            <a:ea typeface="+mn-ea"/>
            <a:cs typeface="+mn-cs"/>
          </a:endParaRP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91440</xdr:colOff>
      <xdr:row>20</xdr:row>
      <xdr:rowOff>110696</xdr:rowOff>
    </xdr:from>
    <xdr:to>
      <xdr:col>9</xdr:col>
      <xdr:colOff>670560</xdr:colOff>
      <xdr:row>22</xdr:row>
      <xdr:rowOff>5353</xdr:rowOff>
    </xdr:to>
    <xdr:sp macro="" textlink="">
      <xdr:nvSpPr>
        <xdr:cNvPr id="37" name="Rectangle 36">
          <a:hlinkClick xmlns:r="http://schemas.openxmlformats.org/officeDocument/2006/relationships" r:id="rId6"/>
          <a:extLst>
            <a:ext uri="{FF2B5EF4-FFF2-40B4-BE49-F238E27FC236}">
              <a16:creationId xmlns:a16="http://schemas.microsoft.com/office/drawing/2014/main" id="{4DDB9906-5716-4A6C-8251-66A9C655ADBA}"/>
            </a:ext>
          </a:extLst>
        </xdr:cNvPr>
        <xdr:cNvSpPr/>
      </xdr:nvSpPr>
      <xdr:spPr>
        <a:xfrm>
          <a:off x="91440" y="5578046"/>
          <a:ext cx="7951470" cy="3709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solidFill>
                <a:srgbClr val="FF0000"/>
              </a:solidFill>
            </a:rPr>
            <a:t>                                                         </a:t>
          </a:r>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xdr:txBody>
    </xdr:sp>
    <xdr:clientData/>
  </xdr:twoCellAnchor>
  <xdr:twoCellAnchor>
    <xdr:from>
      <xdr:col>0</xdr:col>
      <xdr:colOff>91440</xdr:colOff>
      <xdr:row>21</xdr:row>
      <xdr:rowOff>171388</xdr:rowOff>
    </xdr:from>
    <xdr:to>
      <xdr:col>9</xdr:col>
      <xdr:colOff>670560</xdr:colOff>
      <xdr:row>23</xdr:row>
      <xdr:rowOff>49469</xdr:rowOff>
    </xdr:to>
    <xdr:sp macro="" textlink="">
      <xdr:nvSpPr>
        <xdr:cNvPr id="38" name="Rectangle 37">
          <a:hlinkClick xmlns:r="http://schemas.openxmlformats.org/officeDocument/2006/relationships" r:id="rId7"/>
          <a:extLst>
            <a:ext uri="{FF2B5EF4-FFF2-40B4-BE49-F238E27FC236}">
              <a16:creationId xmlns:a16="http://schemas.microsoft.com/office/drawing/2014/main" id="{33EB4EEE-1E20-4BFC-BC9D-0F41841B194D}"/>
            </a:ext>
          </a:extLst>
        </xdr:cNvPr>
        <xdr:cNvSpPr/>
      </xdr:nvSpPr>
      <xdr:spPr>
        <a:xfrm>
          <a:off x="91440" y="5876863"/>
          <a:ext cx="7951470" cy="35433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solidFill>
                <a:srgbClr val="FF0000"/>
              </a:solidFill>
            </a:rPr>
            <a:t>                                                        </a:t>
          </a:r>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xdr:txBody>
    </xdr:sp>
    <xdr:clientData/>
  </xdr:twoCellAnchor>
  <xdr:twoCellAnchor>
    <xdr:from>
      <xdr:col>0</xdr:col>
      <xdr:colOff>91440</xdr:colOff>
      <xdr:row>22</xdr:row>
      <xdr:rowOff>188767</xdr:rowOff>
    </xdr:from>
    <xdr:to>
      <xdr:col>9</xdr:col>
      <xdr:colOff>670560</xdr:colOff>
      <xdr:row>24</xdr:row>
      <xdr:rowOff>52944</xdr:rowOff>
    </xdr:to>
    <xdr:sp macro="" textlink="">
      <xdr:nvSpPr>
        <xdr:cNvPr id="39" name="Rectangle 38">
          <a:hlinkClick xmlns:r="http://schemas.openxmlformats.org/officeDocument/2006/relationships" r:id="rId8"/>
          <a:extLst>
            <a:ext uri="{FF2B5EF4-FFF2-40B4-BE49-F238E27FC236}">
              <a16:creationId xmlns:a16="http://schemas.microsoft.com/office/drawing/2014/main" id="{E21F4DE7-A880-4CD1-9C33-77394655CA77}"/>
            </a:ext>
          </a:extLst>
        </xdr:cNvPr>
        <xdr:cNvSpPr/>
      </xdr:nvSpPr>
      <xdr:spPr>
        <a:xfrm>
          <a:off x="91440" y="6132367"/>
          <a:ext cx="7951470" cy="3404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r>
            <a:rPr lang="en-IN" sz="1400" b="1" i="0" u="none" strike="noStrike" baseline="0">
              <a:solidFill>
                <a:sysClr val="windowText" lastClr="000000"/>
              </a:solidFill>
              <a:effectLst/>
              <a:latin typeface="+mn-lt"/>
              <a:ea typeface="+mn-ea"/>
              <a:cs typeface="+mn-cs"/>
            </a:rPr>
            <a:t> </a:t>
          </a:r>
          <a:endParaRPr lang="en-IN" sz="1400" b="1">
            <a:solidFill>
              <a:sysClr val="windowText" lastClr="000000"/>
            </a:solidFill>
          </a:endParaRPr>
        </a:p>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xdr:txBody>
    </xdr:sp>
    <xdr:clientData/>
  </xdr:twoCellAnchor>
  <xdr:twoCellAnchor>
    <xdr:from>
      <xdr:col>0</xdr:col>
      <xdr:colOff>106680</xdr:colOff>
      <xdr:row>36</xdr:row>
      <xdr:rowOff>79946</xdr:rowOff>
    </xdr:from>
    <xdr:to>
      <xdr:col>9</xdr:col>
      <xdr:colOff>685800</xdr:colOff>
      <xdr:row>39</xdr:row>
      <xdr:rowOff>215769</xdr:rowOff>
    </xdr:to>
    <xdr:sp macro="" textlink="">
      <xdr:nvSpPr>
        <xdr:cNvPr id="40" name="Rectangle 39">
          <a:extLst>
            <a:ext uri="{FF2B5EF4-FFF2-40B4-BE49-F238E27FC236}">
              <a16:creationId xmlns:a16="http://schemas.microsoft.com/office/drawing/2014/main" id="{A227B40F-3AB3-4238-94A1-2998397C8175}"/>
            </a:ext>
          </a:extLst>
        </xdr:cNvPr>
        <xdr:cNvSpPr/>
      </xdr:nvSpPr>
      <xdr:spPr>
        <a:xfrm>
          <a:off x="106680" y="9357296"/>
          <a:ext cx="7951470" cy="85019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400" b="1">
            <a:solidFill>
              <a:srgbClr val="FF0000"/>
            </a:solidFill>
          </a:endParaRPr>
        </a:p>
      </xdr:txBody>
    </xdr:sp>
    <xdr:clientData/>
  </xdr:twoCellAnchor>
  <xdr:twoCellAnchor>
    <xdr:from>
      <xdr:col>0</xdr:col>
      <xdr:colOff>121920</xdr:colOff>
      <xdr:row>40</xdr:row>
      <xdr:rowOff>18986</xdr:rowOff>
    </xdr:from>
    <xdr:to>
      <xdr:col>9</xdr:col>
      <xdr:colOff>701040</xdr:colOff>
      <xdr:row>41</xdr:row>
      <xdr:rowOff>0</xdr:rowOff>
    </xdr:to>
    <xdr:sp macro="" textlink="">
      <xdr:nvSpPr>
        <xdr:cNvPr id="41" name="Rectangle 40">
          <a:extLst>
            <a:ext uri="{FF2B5EF4-FFF2-40B4-BE49-F238E27FC236}">
              <a16:creationId xmlns:a16="http://schemas.microsoft.com/office/drawing/2014/main" id="{A4F3B569-9304-4993-A723-F936D5C3BCF3}"/>
            </a:ext>
          </a:extLst>
        </xdr:cNvPr>
        <xdr:cNvSpPr/>
      </xdr:nvSpPr>
      <xdr:spPr>
        <a:xfrm>
          <a:off x="121920" y="10248836"/>
          <a:ext cx="7951470" cy="21913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400" b="1">
            <a:solidFill>
              <a:srgbClr val="FF0000"/>
            </a:solidFill>
          </a:endParaRPr>
        </a:p>
      </xdr:txBody>
    </xdr:sp>
    <xdr:clientData/>
  </xdr:twoCellAnchor>
  <xdr:twoCellAnchor>
    <xdr:from>
      <xdr:col>0</xdr:col>
      <xdr:colOff>106680</xdr:colOff>
      <xdr:row>29</xdr:row>
      <xdr:rowOff>205871</xdr:rowOff>
    </xdr:from>
    <xdr:to>
      <xdr:col>9</xdr:col>
      <xdr:colOff>685800</xdr:colOff>
      <xdr:row>31</xdr:row>
      <xdr:rowOff>114432</xdr:rowOff>
    </xdr:to>
    <xdr:sp macro="" textlink="">
      <xdr:nvSpPr>
        <xdr:cNvPr id="42" name="Rectangle 41">
          <a:hlinkClick xmlns:r="http://schemas.openxmlformats.org/officeDocument/2006/relationships" r:id="rId9"/>
          <a:extLst>
            <a:ext uri="{FF2B5EF4-FFF2-40B4-BE49-F238E27FC236}">
              <a16:creationId xmlns:a16="http://schemas.microsoft.com/office/drawing/2014/main" id="{0234E7D5-0492-45E6-804B-6900B8A99615}"/>
            </a:ext>
          </a:extLst>
        </xdr:cNvPr>
        <xdr:cNvSpPr/>
      </xdr:nvSpPr>
      <xdr:spPr>
        <a:xfrm>
          <a:off x="106680" y="7816346"/>
          <a:ext cx="7951470" cy="3848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106680</xdr:colOff>
      <xdr:row>31</xdr:row>
      <xdr:rowOff>160152</xdr:rowOff>
    </xdr:from>
    <xdr:to>
      <xdr:col>9</xdr:col>
      <xdr:colOff>685800</xdr:colOff>
      <xdr:row>33</xdr:row>
      <xdr:rowOff>9089</xdr:rowOff>
    </xdr:to>
    <xdr:sp macro="" textlink="">
      <xdr:nvSpPr>
        <xdr:cNvPr id="43" name="Rectangle 42">
          <a:hlinkClick xmlns:r="http://schemas.openxmlformats.org/officeDocument/2006/relationships" r:id="rId10"/>
          <a:extLst>
            <a:ext uri="{FF2B5EF4-FFF2-40B4-BE49-F238E27FC236}">
              <a16:creationId xmlns:a16="http://schemas.microsoft.com/office/drawing/2014/main" id="{324B5EF7-B5AC-4B8F-A337-9282B3F12654}"/>
            </a:ext>
          </a:extLst>
        </xdr:cNvPr>
        <xdr:cNvSpPr/>
      </xdr:nvSpPr>
      <xdr:spPr>
        <a:xfrm>
          <a:off x="106680" y="8246877"/>
          <a:ext cx="7951470" cy="3251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r>
            <a:rPr lang="en-IN" sz="1400" b="1">
              <a:solidFill>
                <a:sysClr val="windowText" lastClr="000000"/>
              </a:solidFill>
            </a:rPr>
            <a:t> </a:t>
          </a: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106680</xdr:colOff>
      <xdr:row>33</xdr:row>
      <xdr:rowOff>68712</xdr:rowOff>
    </xdr:from>
    <xdr:to>
      <xdr:col>9</xdr:col>
      <xdr:colOff>685800</xdr:colOff>
      <xdr:row>34</xdr:row>
      <xdr:rowOff>160152</xdr:rowOff>
    </xdr:to>
    <xdr:sp macro="" textlink="">
      <xdr:nvSpPr>
        <xdr:cNvPr id="44" name="Rectangle 43">
          <a:hlinkClick xmlns:r="http://schemas.openxmlformats.org/officeDocument/2006/relationships" r:id="rId11"/>
          <a:extLst>
            <a:ext uri="{FF2B5EF4-FFF2-40B4-BE49-F238E27FC236}">
              <a16:creationId xmlns:a16="http://schemas.microsoft.com/office/drawing/2014/main" id="{D971F4A8-EF15-4437-8B4F-7C90592D3F21}"/>
            </a:ext>
          </a:extLst>
        </xdr:cNvPr>
        <xdr:cNvSpPr/>
      </xdr:nvSpPr>
      <xdr:spPr>
        <a:xfrm>
          <a:off x="106680" y="8631687"/>
          <a:ext cx="7951470" cy="3295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106680</xdr:colOff>
      <xdr:row>34</xdr:row>
      <xdr:rowOff>205872</xdr:rowOff>
    </xdr:from>
    <xdr:to>
      <xdr:col>9</xdr:col>
      <xdr:colOff>685800</xdr:colOff>
      <xdr:row>36</xdr:row>
      <xdr:rowOff>129672</xdr:rowOff>
    </xdr:to>
    <xdr:sp macro="" textlink="">
      <xdr:nvSpPr>
        <xdr:cNvPr id="45" name="Rectangle 44">
          <a:hlinkClick xmlns:r="http://schemas.openxmlformats.org/officeDocument/2006/relationships" r:id="rId12"/>
          <a:extLst>
            <a:ext uri="{FF2B5EF4-FFF2-40B4-BE49-F238E27FC236}">
              <a16:creationId xmlns:a16="http://schemas.microsoft.com/office/drawing/2014/main" id="{5DD357A4-F988-42B5-BABF-409EE2D425C7}"/>
            </a:ext>
          </a:extLst>
        </xdr:cNvPr>
        <xdr:cNvSpPr/>
      </xdr:nvSpPr>
      <xdr:spPr>
        <a:xfrm>
          <a:off x="106680" y="9006972"/>
          <a:ext cx="7951470" cy="400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endParaRPr lang="en-IN" sz="1400" b="1">
            <a:solidFill>
              <a:sysClr val="windowText" lastClr="000000"/>
            </a:solidFill>
          </a:endParaRPr>
        </a:p>
        <a:p>
          <a:pPr algn="l"/>
          <a:endParaRPr lang="en-IN" sz="1400" b="1">
            <a:solidFill>
              <a:sysClr val="windowText" lastClr="000000"/>
            </a:solidFill>
          </a:endParaRPr>
        </a:p>
        <a:p>
          <a:pPr algn="l"/>
          <a:r>
            <a:rPr lang="en-IN" sz="1400" b="1" i="0" u="none" strike="noStrike">
              <a:solidFill>
                <a:sysClr val="windowText" lastClr="000000"/>
              </a:solidFill>
              <a:effectLst/>
              <a:latin typeface="+mn-lt"/>
              <a:ea typeface="+mn-ea"/>
              <a:cs typeface="+mn-cs"/>
            </a:rPr>
            <a:t>   </a:t>
          </a:r>
          <a:endParaRPr lang="en-IN" sz="1400" b="1">
            <a:solidFill>
              <a:srgbClr val="FF0000"/>
            </a:solidFill>
          </a:endParaRPr>
        </a:p>
      </xdr:txBody>
    </xdr:sp>
    <xdr:clientData/>
  </xdr:twoCellAnchor>
  <xdr:twoCellAnchor>
    <xdr:from>
      <xdr:col>0</xdr:col>
      <xdr:colOff>62865</xdr:colOff>
      <xdr:row>0</xdr:row>
      <xdr:rowOff>76200</xdr:rowOff>
    </xdr:from>
    <xdr:to>
      <xdr:col>9</xdr:col>
      <xdr:colOff>641985</xdr:colOff>
      <xdr:row>2</xdr:row>
      <xdr:rowOff>47625</xdr:rowOff>
    </xdr:to>
    <xdr:sp macro="" textlink="">
      <xdr:nvSpPr>
        <xdr:cNvPr id="46" name="Rectangle 45">
          <a:extLst>
            <a:ext uri="{FF2B5EF4-FFF2-40B4-BE49-F238E27FC236}">
              <a16:creationId xmlns:a16="http://schemas.microsoft.com/office/drawing/2014/main" id="{EDC17389-43CF-424A-91A7-DE1C08A31E79}"/>
            </a:ext>
          </a:extLst>
        </xdr:cNvPr>
        <xdr:cNvSpPr/>
      </xdr:nvSpPr>
      <xdr:spPr>
        <a:xfrm>
          <a:off x="62865" y="76200"/>
          <a:ext cx="7951470" cy="11525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rgbClr val="FF0000"/>
              </a:solidFill>
            </a:rPr>
            <a:t>                                                                                                            </a:t>
          </a:r>
          <a:r>
            <a:rPr lang="en-IN" sz="3600">
              <a:solidFill>
                <a:srgbClr val="FF0000"/>
              </a:solidFill>
            </a:rPr>
            <a:t>      </a:t>
          </a:r>
          <a:r>
            <a:rPr lang="en-IN" sz="3600">
              <a:solidFill>
                <a:sysClr val="windowText" lastClr="000000"/>
              </a:solidFill>
            </a:rPr>
            <a:t>Index</a:t>
          </a:r>
        </a:p>
        <a:p>
          <a:pPr algn="l"/>
          <a:r>
            <a:rPr lang="en-IN" sz="1400" b="1" i="0" u="none" strike="noStrike">
              <a:solidFill>
                <a:sysClr val="windowText" lastClr="000000"/>
              </a:solidFill>
              <a:effectLst/>
              <a:latin typeface="+mn-lt"/>
              <a:ea typeface="+mn-ea"/>
              <a:cs typeface="+mn-cs"/>
            </a:rPr>
            <a:t>   </a:t>
          </a:r>
          <a:endParaRPr lang="en-IN" sz="1400">
            <a:solidFill>
              <a:srgbClr val="FF0000"/>
            </a:solidFill>
          </a:endParaRPr>
        </a:p>
      </xdr:txBody>
    </xdr:sp>
    <xdr:clientData/>
  </xdr:twoCellAnchor>
  <xdr:twoCellAnchor>
    <xdr:from>
      <xdr:col>0</xdr:col>
      <xdr:colOff>95250</xdr:colOff>
      <xdr:row>2</xdr:row>
      <xdr:rowOff>209550</xdr:rowOff>
    </xdr:from>
    <xdr:to>
      <xdr:col>9</xdr:col>
      <xdr:colOff>674370</xdr:colOff>
      <xdr:row>4</xdr:row>
      <xdr:rowOff>90035</xdr:rowOff>
    </xdr:to>
    <xdr:sp macro="" textlink="">
      <xdr:nvSpPr>
        <xdr:cNvPr id="47" name="Rectangle 46">
          <a:extLst>
            <a:ext uri="{FF2B5EF4-FFF2-40B4-BE49-F238E27FC236}">
              <a16:creationId xmlns:a16="http://schemas.microsoft.com/office/drawing/2014/main" id="{A41E4C71-79D5-413E-B15D-D29A8751EE7F}"/>
            </a:ext>
          </a:extLst>
        </xdr:cNvPr>
        <xdr:cNvSpPr/>
      </xdr:nvSpPr>
      <xdr:spPr>
        <a:xfrm>
          <a:off x="95250" y="1390650"/>
          <a:ext cx="7951470" cy="356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b="1" i="0" u="none" strike="noStrike">
              <a:solidFill>
                <a:sysClr val="windowText" lastClr="000000"/>
              </a:solidFill>
              <a:effectLst/>
              <a:latin typeface="+mn-lt"/>
              <a:ea typeface="+mn-ea"/>
              <a:cs typeface="+mn-cs"/>
            </a:rPr>
            <a:t>   </a:t>
          </a:r>
        </a:p>
        <a:p>
          <a:pPr algn="l"/>
          <a:endParaRPr lang="en-IN" sz="1400" b="1" i="0" u="none" strike="noStrike">
            <a:solidFill>
              <a:sysClr val="windowText" lastClr="000000"/>
            </a:solidFill>
            <a:effectLst/>
            <a:latin typeface="+mn-lt"/>
            <a:ea typeface="+mn-ea"/>
            <a:cs typeface="+mn-cs"/>
          </a:endParaRPr>
        </a:p>
        <a:p>
          <a:pPr algn="l"/>
          <a:endParaRPr lang="en-IN" sz="1400" b="1" i="0" u="none" strike="noStrike">
            <a:solidFill>
              <a:sysClr val="windowText" lastClr="000000"/>
            </a:solidFill>
            <a:effectLst/>
            <a:latin typeface="+mn-lt"/>
            <a:ea typeface="+mn-ea"/>
            <a:cs typeface="+mn-cs"/>
          </a:endParaRPr>
        </a:p>
        <a:p>
          <a:pPr algn="l"/>
          <a:endParaRPr lang="en-IN" sz="1400" b="1" i="0" u="none" strike="noStrike">
            <a:solidFill>
              <a:sysClr val="windowText" lastClr="000000"/>
            </a:solidFill>
            <a:effectLst/>
            <a:latin typeface="+mn-lt"/>
            <a:ea typeface="+mn-ea"/>
            <a:cs typeface="+mn-cs"/>
          </a:endParaRPr>
        </a:p>
        <a:p>
          <a:pPr algn="l"/>
          <a:r>
            <a:rPr lang="en-IN" sz="1400" b="1" i="0" u="none" strike="noStrike">
              <a:solidFill>
                <a:sysClr val="windowText" lastClr="000000"/>
              </a:solidFill>
              <a:effectLst/>
              <a:latin typeface="+mn-lt"/>
              <a:ea typeface="+mn-ea"/>
              <a:cs typeface="+mn-cs"/>
            </a:rPr>
            <a:t>  </a:t>
          </a:r>
          <a:endParaRPr lang="en-IN" sz="1400">
            <a:solidFill>
              <a:srgbClr val="FF0000"/>
            </a:solidFill>
          </a:endParaRPr>
        </a:p>
      </xdr:txBody>
    </xdr:sp>
    <xdr:clientData/>
  </xdr:twoCellAnchor>
  <xdr:twoCellAnchor>
    <xdr:from>
      <xdr:col>0</xdr:col>
      <xdr:colOff>261939</xdr:colOff>
      <xdr:row>1</xdr:row>
      <xdr:rowOff>285751</xdr:rowOff>
    </xdr:from>
    <xdr:to>
      <xdr:col>2</xdr:col>
      <xdr:colOff>535781</xdr:colOff>
      <xdr:row>2</xdr:row>
      <xdr:rowOff>226219</xdr:rowOff>
    </xdr:to>
    <xdr:sp macro="" textlink="">
      <xdr:nvSpPr>
        <xdr:cNvPr id="49" name="Rectangle: Rounded Corners 48">
          <a:hlinkClick xmlns:r="http://schemas.openxmlformats.org/officeDocument/2006/relationships" r:id="rId13"/>
          <a:extLst>
            <a:ext uri="{FF2B5EF4-FFF2-40B4-BE49-F238E27FC236}">
              <a16:creationId xmlns:a16="http://schemas.microsoft.com/office/drawing/2014/main" id="{BF48EE34-F9BD-4D9E-8D60-9D0B661A5E8D}"/>
            </a:ext>
          </a:extLst>
        </xdr:cNvPr>
        <xdr:cNvSpPr/>
      </xdr:nvSpPr>
      <xdr:spPr>
        <a:xfrm>
          <a:off x="261939" y="876301"/>
          <a:ext cx="1912142" cy="531018"/>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Business Summary</a:t>
          </a:r>
        </a:p>
      </xdr:txBody>
    </xdr:sp>
    <xdr:clientData/>
  </xdr:twoCellAnchor>
  <xdr:twoCellAnchor>
    <xdr:from>
      <xdr:col>0</xdr:col>
      <xdr:colOff>235744</xdr:colOff>
      <xdr:row>37</xdr:row>
      <xdr:rowOff>128589</xdr:rowOff>
    </xdr:from>
    <xdr:to>
      <xdr:col>2</xdr:col>
      <xdr:colOff>509586</xdr:colOff>
      <xdr:row>39</xdr:row>
      <xdr:rowOff>188119</xdr:rowOff>
    </xdr:to>
    <xdr:sp macro="" textlink="">
      <xdr:nvSpPr>
        <xdr:cNvPr id="50" name="Rectangle: Rounded Corners 49">
          <a:hlinkClick xmlns:r="http://schemas.openxmlformats.org/officeDocument/2006/relationships" r:id="rId14"/>
          <a:extLst>
            <a:ext uri="{FF2B5EF4-FFF2-40B4-BE49-F238E27FC236}">
              <a16:creationId xmlns:a16="http://schemas.microsoft.com/office/drawing/2014/main" id="{F1F18047-1F36-496C-9997-ED18F5701154}"/>
            </a:ext>
          </a:extLst>
        </xdr:cNvPr>
        <xdr:cNvSpPr/>
      </xdr:nvSpPr>
      <xdr:spPr>
        <a:xfrm>
          <a:off x="235744" y="9644064"/>
          <a:ext cx="1912142" cy="53578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Charts</a:t>
          </a:r>
        </a:p>
      </xdr:txBody>
    </xdr:sp>
    <xdr:clientData/>
  </xdr:twoCellAnchor>
  <xdr:twoCellAnchor>
    <xdr:from>
      <xdr:col>0</xdr:col>
      <xdr:colOff>269082</xdr:colOff>
      <xdr:row>32</xdr:row>
      <xdr:rowOff>66674</xdr:rowOff>
    </xdr:from>
    <xdr:to>
      <xdr:col>2</xdr:col>
      <xdr:colOff>542924</xdr:colOff>
      <xdr:row>35</xdr:row>
      <xdr:rowOff>95248</xdr:rowOff>
    </xdr:to>
    <xdr:sp macro="" textlink="">
      <xdr:nvSpPr>
        <xdr:cNvPr id="52" name="Rectangle: Rounded Corners 51">
          <a:hlinkClick xmlns:r="http://schemas.openxmlformats.org/officeDocument/2006/relationships" r:id="rId15"/>
          <a:extLst>
            <a:ext uri="{FF2B5EF4-FFF2-40B4-BE49-F238E27FC236}">
              <a16:creationId xmlns:a16="http://schemas.microsoft.com/office/drawing/2014/main" id="{37ED1E34-619B-46C8-A608-38782D816571}"/>
            </a:ext>
          </a:extLst>
        </xdr:cNvPr>
        <xdr:cNvSpPr/>
      </xdr:nvSpPr>
      <xdr:spPr>
        <a:xfrm>
          <a:off x="269082" y="8391524"/>
          <a:ext cx="1912142" cy="742949"/>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Valuation</a:t>
          </a:r>
          <a:r>
            <a:rPr lang="en-IN" sz="1600" baseline="0">
              <a:solidFill>
                <a:sysClr val="windowText" lastClr="000000"/>
              </a:solidFill>
            </a:rPr>
            <a:t> </a:t>
          </a:r>
        </a:p>
        <a:p>
          <a:pPr algn="l"/>
          <a:r>
            <a:rPr lang="en-IN" sz="1600" baseline="0">
              <a:solidFill>
                <a:sysClr val="windowText" lastClr="000000"/>
              </a:solidFill>
            </a:rPr>
            <a:t>     Cost Approach</a:t>
          </a:r>
          <a:endParaRPr lang="en-IN" sz="1600">
            <a:solidFill>
              <a:sysClr val="windowText" lastClr="000000"/>
            </a:solidFill>
          </a:endParaRPr>
        </a:p>
      </xdr:txBody>
    </xdr:sp>
    <xdr:clientData/>
  </xdr:twoCellAnchor>
  <xdr:twoCellAnchor>
    <xdr:from>
      <xdr:col>0</xdr:col>
      <xdr:colOff>326231</xdr:colOff>
      <xdr:row>26</xdr:row>
      <xdr:rowOff>52388</xdr:rowOff>
    </xdr:from>
    <xdr:to>
      <xdr:col>2</xdr:col>
      <xdr:colOff>600073</xdr:colOff>
      <xdr:row>29</xdr:row>
      <xdr:rowOff>107155</xdr:rowOff>
    </xdr:to>
    <xdr:sp macro="" textlink="">
      <xdr:nvSpPr>
        <xdr:cNvPr id="53" name="Rectangle: Rounded Corners 52">
          <a:hlinkClick xmlns:r="http://schemas.openxmlformats.org/officeDocument/2006/relationships" r:id="rId16"/>
          <a:extLst>
            <a:ext uri="{FF2B5EF4-FFF2-40B4-BE49-F238E27FC236}">
              <a16:creationId xmlns:a16="http://schemas.microsoft.com/office/drawing/2014/main" id="{1DD5EAB3-90D2-4CFC-BC9A-B0C40D85D380}"/>
            </a:ext>
          </a:extLst>
        </xdr:cNvPr>
        <xdr:cNvSpPr/>
      </xdr:nvSpPr>
      <xdr:spPr>
        <a:xfrm>
          <a:off x="326231" y="6948488"/>
          <a:ext cx="1912142" cy="76914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baseline="0">
              <a:solidFill>
                <a:sysClr val="windowText" lastClr="000000"/>
              </a:solidFill>
            </a:rPr>
            <a:t>        Valuation</a:t>
          </a:r>
        </a:p>
        <a:p>
          <a:pPr algn="l"/>
          <a:r>
            <a:rPr lang="en-IN" sz="1600" baseline="0">
              <a:solidFill>
                <a:sysClr val="windowText" lastClr="000000"/>
              </a:solidFill>
            </a:rPr>
            <a:t>Market Approach</a:t>
          </a:r>
          <a:endParaRPr lang="en-IN" sz="1600">
            <a:solidFill>
              <a:sysClr val="windowText" lastClr="000000"/>
            </a:solidFill>
          </a:endParaRPr>
        </a:p>
      </xdr:txBody>
    </xdr:sp>
    <xdr:clientData/>
  </xdr:twoCellAnchor>
  <xdr:twoCellAnchor>
    <xdr:from>
      <xdr:col>0</xdr:col>
      <xdr:colOff>261937</xdr:colOff>
      <xdr:row>20</xdr:row>
      <xdr:rowOff>142876</xdr:rowOff>
    </xdr:from>
    <xdr:to>
      <xdr:col>2</xdr:col>
      <xdr:colOff>535779</xdr:colOff>
      <xdr:row>23</xdr:row>
      <xdr:rowOff>130968</xdr:rowOff>
    </xdr:to>
    <xdr:sp macro="" textlink="">
      <xdr:nvSpPr>
        <xdr:cNvPr id="54" name="Rectangle: Rounded Corners 53">
          <a:hlinkClick xmlns:r="http://schemas.openxmlformats.org/officeDocument/2006/relationships" r:id="rId17"/>
          <a:extLst>
            <a:ext uri="{FF2B5EF4-FFF2-40B4-BE49-F238E27FC236}">
              <a16:creationId xmlns:a16="http://schemas.microsoft.com/office/drawing/2014/main" id="{0C158BA0-A6F2-436A-B473-AAAE7C485C3B}"/>
            </a:ext>
          </a:extLst>
        </xdr:cNvPr>
        <xdr:cNvSpPr/>
      </xdr:nvSpPr>
      <xdr:spPr>
        <a:xfrm>
          <a:off x="261937" y="5610226"/>
          <a:ext cx="1912142" cy="702467"/>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Valuation</a:t>
          </a:r>
        </a:p>
        <a:p>
          <a:pPr algn="l"/>
          <a:r>
            <a:rPr lang="en-IN" sz="1600">
              <a:solidFill>
                <a:sysClr val="windowText" lastClr="000000"/>
              </a:solidFill>
            </a:rPr>
            <a:t>Income Approach</a:t>
          </a:r>
        </a:p>
      </xdr:txBody>
    </xdr:sp>
    <xdr:clientData/>
  </xdr:twoCellAnchor>
  <xdr:twoCellAnchor>
    <xdr:from>
      <xdr:col>0</xdr:col>
      <xdr:colOff>140493</xdr:colOff>
      <xdr:row>15</xdr:row>
      <xdr:rowOff>164306</xdr:rowOff>
    </xdr:from>
    <xdr:to>
      <xdr:col>2</xdr:col>
      <xdr:colOff>414335</xdr:colOff>
      <xdr:row>18</xdr:row>
      <xdr:rowOff>11907</xdr:rowOff>
    </xdr:to>
    <xdr:sp macro="" textlink="">
      <xdr:nvSpPr>
        <xdr:cNvPr id="55" name="Rectangle: Rounded Corners 54">
          <a:hlinkClick xmlns:r="http://schemas.openxmlformats.org/officeDocument/2006/relationships" r:id="rId18"/>
          <a:extLst>
            <a:ext uri="{FF2B5EF4-FFF2-40B4-BE49-F238E27FC236}">
              <a16:creationId xmlns:a16="http://schemas.microsoft.com/office/drawing/2014/main" id="{90671C81-331A-4B9D-A48B-A8A16A587832}"/>
            </a:ext>
          </a:extLst>
        </xdr:cNvPr>
        <xdr:cNvSpPr/>
      </xdr:nvSpPr>
      <xdr:spPr>
        <a:xfrm>
          <a:off x="140493" y="4441031"/>
          <a:ext cx="1912142"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Assumptions</a:t>
          </a:r>
        </a:p>
      </xdr:txBody>
    </xdr:sp>
    <xdr:clientData/>
  </xdr:twoCellAnchor>
  <xdr:twoCellAnchor>
    <xdr:from>
      <xdr:col>0</xdr:col>
      <xdr:colOff>269082</xdr:colOff>
      <xdr:row>7</xdr:row>
      <xdr:rowOff>42862</xdr:rowOff>
    </xdr:from>
    <xdr:to>
      <xdr:col>2</xdr:col>
      <xdr:colOff>542924</xdr:colOff>
      <xdr:row>9</xdr:row>
      <xdr:rowOff>238124</xdr:rowOff>
    </xdr:to>
    <xdr:sp macro="" textlink="">
      <xdr:nvSpPr>
        <xdr:cNvPr id="56" name="Rectangle: Rounded Corners 55">
          <a:hlinkClick xmlns:r="http://schemas.openxmlformats.org/officeDocument/2006/relationships" r:id="rId19"/>
          <a:extLst>
            <a:ext uri="{FF2B5EF4-FFF2-40B4-BE49-F238E27FC236}">
              <a16:creationId xmlns:a16="http://schemas.microsoft.com/office/drawing/2014/main" id="{93CFBD22-5478-4B2D-A138-B40BDE2FB064}"/>
            </a:ext>
          </a:extLst>
        </xdr:cNvPr>
        <xdr:cNvSpPr/>
      </xdr:nvSpPr>
      <xdr:spPr>
        <a:xfrm>
          <a:off x="269082" y="2414587"/>
          <a:ext cx="1912142" cy="67151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FS-</a:t>
          </a:r>
          <a:r>
            <a:rPr lang="en-IN" sz="1600" baseline="0">
              <a:solidFill>
                <a:sysClr val="windowText" lastClr="000000"/>
              </a:solidFill>
            </a:rPr>
            <a:t> Historical &amp;   Projected</a:t>
          </a:r>
        </a:p>
        <a:p>
          <a:pPr algn="l"/>
          <a:endParaRPr lang="en-IN" sz="1600">
            <a:solidFill>
              <a:sysClr val="windowText" lastClr="000000"/>
            </a:solidFill>
          </a:endParaRPr>
        </a:p>
      </xdr:txBody>
    </xdr:sp>
    <xdr:clientData/>
  </xdr:twoCellAnchor>
  <xdr:twoCellAnchor>
    <xdr:from>
      <xdr:col>3</xdr:col>
      <xdr:colOff>183356</xdr:colOff>
      <xdr:row>1</xdr:row>
      <xdr:rowOff>278608</xdr:rowOff>
    </xdr:from>
    <xdr:to>
      <xdr:col>5</xdr:col>
      <xdr:colOff>457199</xdr:colOff>
      <xdr:row>2</xdr:row>
      <xdr:rowOff>226220</xdr:rowOff>
    </xdr:to>
    <xdr:sp macro="" textlink="">
      <xdr:nvSpPr>
        <xdr:cNvPr id="57" name="Rectangle: Rounded Corners 56">
          <a:hlinkClick xmlns:r="http://schemas.openxmlformats.org/officeDocument/2006/relationships" r:id="rId20"/>
          <a:extLst>
            <a:ext uri="{FF2B5EF4-FFF2-40B4-BE49-F238E27FC236}">
              <a16:creationId xmlns:a16="http://schemas.microsoft.com/office/drawing/2014/main" id="{B684D584-09D6-44B4-8F05-5979865A288E}"/>
            </a:ext>
          </a:extLst>
        </xdr:cNvPr>
        <xdr:cNvSpPr/>
      </xdr:nvSpPr>
      <xdr:spPr>
        <a:xfrm>
          <a:off x="2640806" y="869158"/>
          <a:ext cx="1912143" cy="53816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Key</a:t>
          </a:r>
          <a:r>
            <a:rPr lang="en-IN" sz="1600" baseline="0">
              <a:solidFill>
                <a:sysClr val="windowText" lastClr="000000"/>
              </a:solidFill>
            </a:rPr>
            <a:t> Ratios</a:t>
          </a:r>
          <a:endParaRPr lang="en-IN" sz="1600">
            <a:solidFill>
              <a:sysClr val="windowText" lastClr="000000"/>
            </a:solidFill>
          </a:endParaRPr>
        </a:p>
      </xdr:txBody>
    </xdr:sp>
    <xdr:clientData/>
  </xdr:twoCellAnchor>
  <xdr:twoCellAnchor>
    <xdr:from>
      <xdr:col>6</xdr:col>
      <xdr:colOff>121445</xdr:colOff>
      <xdr:row>1</xdr:row>
      <xdr:rowOff>276226</xdr:rowOff>
    </xdr:from>
    <xdr:to>
      <xdr:col>8</xdr:col>
      <xdr:colOff>395288</xdr:colOff>
      <xdr:row>2</xdr:row>
      <xdr:rowOff>216694</xdr:rowOff>
    </xdr:to>
    <xdr:sp macro="" textlink="">
      <xdr:nvSpPr>
        <xdr:cNvPr id="58" name="Rectangle: Rounded Corners 57">
          <a:hlinkClick xmlns:r="http://schemas.openxmlformats.org/officeDocument/2006/relationships" r:id="rId21"/>
          <a:extLst>
            <a:ext uri="{FF2B5EF4-FFF2-40B4-BE49-F238E27FC236}">
              <a16:creationId xmlns:a16="http://schemas.microsoft.com/office/drawing/2014/main" id="{0CE008FF-6EBB-4BDD-AB1C-B1C75EC004C9}"/>
            </a:ext>
          </a:extLst>
        </xdr:cNvPr>
        <xdr:cNvSpPr/>
      </xdr:nvSpPr>
      <xdr:spPr>
        <a:xfrm>
          <a:off x="5036345" y="866776"/>
          <a:ext cx="1912143" cy="531018"/>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FS Summary</a:t>
          </a:r>
        </a:p>
      </xdr:txBody>
    </xdr:sp>
    <xdr:clientData/>
  </xdr:twoCellAnchor>
  <xdr:twoCellAnchor>
    <xdr:from>
      <xdr:col>3</xdr:col>
      <xdr:colOff>202406</xdr:colOff>
      <xdr:row>4</xdr:row>
      <xdr:rowOff>0</xdr:rowOff>
    </xdr:from>
    <xdr:to>
      <xdr:col>5</xdr:col>
      <xdr:colOff>476249</xdr:colOff>
      <xdr:row>6</xdr:row>
      <xdr:rowOff>178594</xdr:rowOff>
    </xdr:to>
    <xdr:sp macro="" textlink="">
      <xdr:nvSpPr>
        <xdr:cNvPr id="59" name="Rectangle: Rounded Corners 58">
          <a:hlinkClick xmlns:r="http://schemas.openxmlformats.org/officeDocument/2006/relationships" r:id="rId22"/>
          <a:extLst>
            <a:ext uri="{FF2B5EF4-FFF2-40B4-BE49-F238E27FC236}">
              <a16:creationId xmlns:a16="http://schemas.microsoft.com/office/drawing/2014/main" id="{9C3B8755-E34E-4AFE-A033-1D075C8D4CC2}"/>
            </a:ext>
          </a:extLst>
        </xdr:cNvPr>
        <xdr:cNvSpPr/>
      </xdr:nvSpPr>
      <xdr:spPr>
        <a:xfrm>
          <a:off x="2659856" y="1657350"/>
          <a:ext cx="1912143" cy="654844"/>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Football</a:t>
          </a:r>
          <a:r>
            <a:rPr lang="en-IN" sz="1600" baseline="0">
              <a:solidFill>
                <a:sysClr val="windowText" lastClr="000000"/>
              </a:solidFill>
            </a:rPr>
            <a:t> Field        Analysis</a:t>
          </a:r>
          <a:endParaRPr lang="en-IN" sz="1600">
            <a:solidFill>
              <a:sysClr val="windowText" lastClr="000000"/>
            </a:solidFill>
          </a:endParaRPr>
        </a:p>
      </xdr:txBody>
    </xdr:sp>
    <xdr:clientData/>
  </xdr:twoCellAnchor>
  <xdr:twoCellAnchor>
    <xdr:from>
      <xdr:col>0</xdr:col>
      <xdr:colOff>223838</xdr:colOff>
      <xdr:row>4</xdr:row>
      <xdr:rowOff>21432</xdr:rowOff>
    </xdr:from>
    <xdr:to>
      <xdr:col>2</xdr:col>
      <xdr:colOff>497680</xdr:colOff>
      <xdr:row>6</xdr:row>
      <xdr:rowOff>80962</xdr:rowOff>
    </xdr:to>
    <xdr:sp macro="" textlink="">
      <xdr:nvSpPr>
        <xdr:cNvPr id="60" name="Rectangle: Rounded Corners 59">
          <a:hlinkClick xmlns:r="http://schemas.openxmlformats.org/officeDocument/2006/relationships" r:id="rId23"/>
          <a:extLst>
            <a:ext uri="{FF2B5EF4-FFF2-40B4-BE49-F238E27FC236}">
              <a16:creationId xmlns:a16="http://schemas.microsoft.com/office/drawing/2014/main" id="{CC07F310-F66E-4FB5-80DA-7D3E642CF286}"/>
            </a:ext>
          </a:extLst>
        </xdr:cNvPr>
        <xdr:cNvSpPr/>
      </xdr:nvSpPr>
      <xdr:spPr>
        <a:xfrm>
          <a:off x="223838" y="1678782"/>
          <a:ext cx="1912142" cy="53578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Valuation Summary</a:t>
          </a:r>
        </a:p>
      </xdr:txBody>
    </xdr:sp>
    <xdr:clientData/>
  </xdr:twoCellAnchor>
  <xdr:twoCellAnchor>
    <xdr:from>
      <xdr:col>2</xdr:col>
      <xdr:colOff>581027</xdr:colOff>
      <xdr:row>35</xdr:row>
      <xdr:rowOff>92868</xdr:rowOff>
    </xdr:from>
    <xdr:to>
      <xdr:col>5</xdr:col>
      <xdr:colOff>33339</xdr:colOff>
      <xdr:row>37</xdr:row>
      <xdr:rowOff>83344</xdr:rowOff>
    </xdr:to>
    <xdr:sp macro="" textlink="">
      <xdr:nvSpPr>
        <xdr:cNvPr id="61" name="Rectangle: Rounded Corners 60">
          <a:hlinkClick xmlns:r="http://schemas.openxmlformats.org/officeDocument/2006/relationships" r:id="rId24"/>
          <a:extLst>
            <a:ext uri="{FF2B5EF4-FFF2-40B4-BE49-F238E27FC236}">
              <a16:creationId xmlns:a16="http://schemas.microsoft.com/office/drawing/2014/main" id="{73E28C8C-3C6E-4F15-A8E3-61C0B6249988}"/>
            </a:ext>
          </a:extLst>
        </xdr:cNvPr>
        <xdr:cNvSpPr/>
      </xdr:nvSpPr>
      <xdr:spPr>
        <a:xfrm>
          <a:off x="2219327" y="9132093"/>
          <a:ext cx="1909762" cy="46672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b="1">
              <a:solidFill>
                <a:sysClr val="windowText" lastClr="000000"/>
              </a:solidFill>
            </a:rPr>
            <a:t>            </a:t>
          </a:r>
          <a:r>
            <a:rPr lang="en-IN" sz="1100" b="1" i="0">
              <a:solidFill>
                <a:sysClr val="windowText" lastClr="000000"/>
              </a:solidFill>
              <a:effectLst/>
              <a:latin typeface="+mn-lt"/>
              <a:ea typeface="+mn-ea"/>
              <a:cs typeface="+mn-cs"/>
            </a:rPr>
            <a:t>NAV</a:t>
          </a:r>
          <a:r>
            <a:rPr lang="en-IN" sz="1600" b="1">
              <a:solidFill>
                <a:sysClr val="windowText" lastClr="000000"/>
              </a:solidFill>
            </a:rPr>
            <a:t>  </a:t>
          </a:r>
          <a:br>
            <a:rPr lang="en-IN" sz="1600">
              <a:solidFill>
                <a:sysClr val="windowText" lastClr="000000"/>
              </a:solidFill>
            </a:rPr>
          </a:br>
          <a:endParaRPr lang="en-IN" sz="1600">
            <a:solidFill>
              <a:sysClr val="windowText" lastClr="000000"/>
            </a:solidFill>
          </a:endParaRPr>
        </a:p>
      </xdr:txBody>
    </xdr:sp>
    <xdr:clientData/>
  </xdr:twoCellAnchor>
  <xdr:twoCellAnchor>
    <xdr:from>
      <xdr:col>5</xdr:col>
      <xdr:colOff>207169</xdr:colOff>
      <xdr:row>9</xdr:row>
      <xdr:rowOff>28575</xdr:rowOff>
    </xdr:from>
    <xdr:to>
      <xdr:col>7</xdr:col>
      <xdr:colOff>481011</xdr:colOff>
      <xdr:row>11</xdr:row>
      <xdr:rowOff>223837</xdr:rowOff>
    </xdr:to>
    <xdr:sp macro="" textlink="">
      <xdr:nvSpPr>
        <xdr:cNvPr id="62" name="Rectangle: Rounded Corners 61">
          <a:hlinkClick xmlns:r="http://schemas.openxmlformats.org/officeDocument/2006/relationships" r:id="rId25"/>
          <a:extLst>
            <a:ext uri="{FF2B5EF4-FFF2-40B4-BE49-F238E27FC236}">
              <a16:creationId xmlns:a16="http://schemas.microsoft.com/office/drawing/2014/main" id="{EADB0433-F03A-4798-8B1B-A7926591BF43}"/>
            </a:ext>
          </a:extLst>
        </xdr:cNvPr>
        <xdr:cNvSpPr/>
      </xdr:nvSpPr>
      <xdr:spPr>
        <a:xfrm>
          <a:off x="4302919" y="2876550"/>
          <a:ext cx="1912142" cy="67151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N" sz="1100" b="1" i="0">
              <a:solidFill>
                <a:sysClr val="windowText" lastClr="000000"/>
              </a:solidFill>
              <a:effectLst/>
              <a:latin typeface="+mn-lt"/>
              <a:ea typeface="+mn-ea"/>
              <a:cs typeface="+mn-cs"/>
            </a:rPr>
            <a:t>Consolidated Statements of Income</a:t>
          </a:r>
          <a:endParaRPr lang="en-IN" sz="1600">
            <a:solidFill>
              <a:sysClr val="windowText" lastClr="000000"/>
            </a:solidFill>
            <a:effectLst/>
          </a:endParaRPr>
        </a:p>
        <a:p>
          <a:pPr algn="l"/>
          <a:endParaRPr lang="en-IN" sz="1600">
            <a:solidFill>
              <a:sysClr val="windowText" lastClr="000000"/>
            </a:solidFill>
          </a:endParaRPr>
        </a:p>
      </xdr:txBody>
    </xdr:sp>
    <xdr:clientData/>
  </xdr:twoCellAnchor>
  <xdr:twoCellAnchor>
    <xdr:from>
      <xdr:col>7</xdr:col>
      <xdr:colOff>540544</xdr:colOff>
      <xdr:row>9</xdr:row>
      <xdr:rowOff>28575</xdr:rowOff>
    </xdr:from>
    <xdr:to>
      <xdr:col>9</xdr:col>
      <xdr:colOff>814387</xdr:colOff>
      <xdr:row>11</xdr:row>
      <xdr:rowOff>223837</xdr:rowOff>
    </xdr:to>
    <xdr:sp macro="" textlink="">
      <xdr:nvSpPr>
        <xdr:cNvPr id="63" name="Rectangle: Rounded Corners 62">
          <a:hlinkClick xmlns:r="http://schemas.openxmlformats.org/officeDocument/2006/relationships" r:id="rId26"/>
          <a:extLst>
            <a:ext uri="{FF2B5EF4-FFF2-40B4-BE49-F238E27FC236}">
              <a16:creationId xmlns:a16="http://schemas.microsoft.com/office/drawing/2014/main" id="{C94F643A-AB58-40FC-B918-87D67B3816A3}"/>
            </a:ext>
          </a:extLst>
        </xdr:cNvPr>
        <xdr:cNvSpPr/>
      </xdr:nvSpPr>
      <xdr:spPr>
        <a:xfrm>
          <a:off x="6274594" y="2876550"/>
          <a:ext cx="1912143" cy="67151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N" sz="1100" b="1">
              <a:solidFill>
                <a:schemeClr val="lt1"/>
              </a:solidFill>
              <a:effectLst/>
              <a:latin typeface="+mn-lt"/>
              <a:ea typeface="+mn-ea"/>
              <a:cs typeface="+mn-cs"/>
            </a:rPr>
            <a:t>                                        </a:t>
          </a:r>
          <a:r>
            <a:rPr lang="en-IN" sz="1100" b="1" i="0">
              <a:solidFill>
                <a:sysClr val="windowText" lastClr="000000"/>
              </a:solidFill>
              <a:effectLst/>
              <a:latin typeface="+mn-lt"/>
              <a:ea typeface="+mn-ea"/>
              <a:cs typeface="+mn-cs"/>
            </a:rPr>
            <a:t>Consolidated Balance Sheets</a:t>
          </a:r>
          <a:r>
            <a:rPr lang="en-IN" sz="1100" b="1">
              <a:solidFill>
                <a:sysClr val="windowText" lastClr="000000"/>
              </a:solidFill>
              <a:effectLst/>
              <a:latin typeface="+mn-lt"/>
              <a:ea typeface="+mn-ea"/>
              <a:cs typeface="+mn-cs"/>
            </a:rPr>
            <a:t> </a:t>
          </a:r>
          <a:endParaRPr lang="en-IN" sz="1600">
            <a:solidFill>
              <a:sysClr val="windowText" lastClr="000000"/>
            </a:solidFill>
            <a:effectLst/>
          </a:endParaRPr>
        </a:p>
        <a:p>
          <a:pPr algn="l"/>
          <a:endParaRPr lang="en-IN" sz="1600">
            <a:solidFill>
              <a:sysClr val="windowText" lastClr="000000"/>
            </a:solidFill>
          </a:endParaRPr>
        </a:p>
      </xdr:txBody>
    </xdr:sp>
    <xdr:clientData/>
  </xdr:twoCellAnchor>
  <xdr:twoCellAnchor>
    <xdr:from>
      <xdr:col>2</xdr:col>
      <xdr:colOff>683419</xdr:colOff>
      <xdr:row>8</xdr:row>
      <xdr:rowOff>230981</xdr:rowOff>
    </xdr:from>
    <xdr:to>
      <xdr:col>5</xdr:col>
      <xdr:colOff>135731</xdr:colOff>
      <xdr:row>11</xdr:row>
      <xdr:rowOff>188118</xdr:rowOff>
    </xdr:to>
    <xdr:sp macro="" textlink="">
      <xdr:nvSpPr>
        <xdr:cNvPr id="64" name="Rectangle: Rounded Corners 63">
          <a:hlinkClick xmlns:r="http://schemas.openxmlformats.org/officeDocument/2006/relationships" r:id="rId27"/>
          <a:extLst>
            <a:ext uri="{FF2B5EF4-FFF2-40B4-BE49-F238E27FC236}">
              <a16:creationId xmlns:a16="http://schemas.microsoft.com/office/drawing/2014/main" id="{9C8825C5-2A46-4994-81AC-C9CB89173E85}"/>
            </a:ext>
          </a:extLst>
        </xdr:cNvPr>
        <xdr:cNvSpPr/>
      </xdr:nvSpPr>
      <xdr:spPr>
        <a:xfrm>
          <a:off x="2321719" y="2840831"/>
          <a:ext cx="1909762" cy="671512"/>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0">
              <a:solidFill>
                <a:sysClr val="windowText" lastClr="000000"/>
              </a:solidFill>
              <a:effectLst/>
              <a:latin typeface="+mn-lt"/>
              <a:ea typeface="+mn-ea"/>
              <a:cs typeface="+mn-cs"/>
            </a:rPr>
            <a:t>Consolidated Statement of Cashflows</a:t>
          </a:r>
          <a:r>
            <a:rPr lang="en-IN" sz="1100" b="1">
              <a:solidFill>
                <a:sysClr val="windowText" lastClr="000000"/>
              </a:solidFill>
              <a:effectLst/>
              <a:latin typeface="+mn-lt"/>
              <a:ea typeface="+mn-ea"/>
              <a:cs typeface="+mn-cs"/>
            </a:rPr>
            <a:t> </a:t>
          </a:r>
          <a:endParaRPr lang="en-IN" sz="1600">
            <a:solidFill>
              <a:sysClr val="windowText" lastClr="000000"/>
            </a:solidFill>
          </a:endParaRPr>
        </a:p>
      </xdr:txBody>
    </xdr:sp>
    <xdr:clientData/>
  </xdr:twoCellAnchor>
  <xdr:twoCellAnchor>
    <xdr:from>
      <xdr:col>7</xdr:col>
      <xdr:colOff>588168</xdr:colOff>
      <xdr:row>17</xdr:row>
      <xdr:rowOff>135731</xdr:rowOff>
    </xdr:from>
    <xdr:to>
      <xdr:col>10</xdr:col>
      <xdr:colOff>40479</xdr:colOff>
      <xdr:row>19</xdr:row>
      <xdr:rowOff>221457</xdr:rowOff>
    </xdr:to>
    <xdr:sp macro="" textlink="">
      <xdr:nvSpPr>
        <xdr:cNvPr id="65" name="Rectangle: Rounded Corners 64">
          <a:hlinkClick xmlns:r="http://schemas.openxmlformats.org/officeDocument/2006/relationships" r:id="rId8"/>
          <a:extLst>
            <a:ext uri="{FF2B5EF4-FFF2-40B4-BE49-F238E27FC236}">
              <a16:creationId xmlns:a16="http://schemas.microsoft.com/office/drawing/2014/main" id="{D740028C-AF92-414D-B73F-328998410D91}"/>
            </a:ext>
          </a:extLst>
        </xdr:cNvPr>
        <xdr:cNvSpPr/>
      </xdr:nvSpPr>
      <xdr:spPr>
        <a:xfrm>
          <a:off x="6322218" y="4888706"/>
          <a:ext cx="1909761"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t>
          </a:r>
          <a:r>
            <a:rPr lang="en-IN" sz="1100" b="1" i="0">
              <a:solidFill>
                <a:sysClr val="windowText" lastClr="000000"/>
              </a:solidFill>
              <a:effectLst/>
              <a:latin typeface="+mn-lt"/>
              <a:ea typeface="+mn-ea"/>
              <a:cs typeface="+mn-cs"/>
            </a:rPr>
            <a:t>Equity Schedule</a:t>
          </a:r>
          <a:r>
            <a:rPr lang="en-IN" sz="1100" b="1">
              <a:solidFill>
                <a:sysClr val="windowText" lastClr="000000"/>
              </a:solidFill>
              <a:effectLst/>
              <a:latin typeface="+mn-lt"/>
              <a:ea typeface="+mn-ea"/>
              <a:cs typeface="+mn-cs"/>
            </a:rPr>
            <a:t> </a:t>
          </a:r>
          <a:endParaRPr lang="en-IN" sz="1600">
            <a:solidFill>
              <a:sysClr val="windowText" lastClr="000000"/>
            </a:solidFill>
          </a:endParaRPr>
        </a:p>
      </xdr:txBody>
    </xdr:sp>
    <xdr:clientData/>
  </xdr:twoCellAnchor>
  <xdr:twoCellAnchor>
    <xdr:from>
      <xdr:col>5</xdr:col>
      <xdr:colOff>180975</xdr:colOff>
      <xdr:row>17</xdr:row>
      <xdr:rowOff>169069</xdr:rowOff>
    </xdr:from>
    <xdr:to>
      <xdr:col>7</xdr:col>
      <xdr:colOff>454817</xdr:colOff>
      <xdr:row>20</xdr:row>
      <xdr:rowOff>16670</xdr:rowOff>
    </xdr:to>
    <xdr:sp macro="" textlink="">
      <xdr:nvSpPr>
        <xdr:cNvPr id="66" name="Rectangle: Rounded Corners 65">
          <a:hlinkClick xmlns:r="http://schemas.openxmlformats.org/officeDocument/2006/relationships" r:id="rId28"/>
          <a:extLst>
            <a:ext uri="{FF2B5EF4-FFF2-40B4-BE49-F238E27FC236}">
              <a16:creationId xmlns:a16="http://schemas.microsoft.com/office/drawing/2014/main" id="{7D1FAB1A-EEDB-4F6C-AB8A-E4C30B094041}"/>
            </a:ext>
          </a:extLst>
        </xdr:cNvPr>
        <xdr:cNvSpPr/>
      </xdr:nvSpPr>
      <xdr:spPr>
        <a:xfrm>
          <a:off x="4276725" y="4922044"/>
          <a:ext cx="1912142"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t>
          </a:r>
          <a:r>
            <a:rPr lang="en-IN" sz="1100" b="1" i="0">
              <a:solidFill>
                <a:sysClr val="windowText" lastClr="000000"/>
              </a:solidFill>
              <a:effectLst/>
              <a:latin typeface="+mn-lt"/>
              <a:ea typeface="+mn-ea"/>
              <a:cs typeface="+mn-cs"/>
            </a:rPr>
            <a:t>Balance Sheet Assumptions</a:t>
          </a:r>
          <a:r>
            <a:rPr lang="en-IN" sz="1100" b="1">
              <a:solidFill>
                <a:sysClr val="windowText" lastClr="000000"/>
              </a:solidFill>
              <a:effectLst/>
              <a:latin typeface="+mn-lt"/>
              <a:ea typeface="+mn-ea"/>
              <a:cs typeface="+mn-cs"/>
            </a:rPr>
            <a:t> </a:t>
          </a:r>
          <a:endParaRPr lang="en-IN" sz="1600">
            <a:solidFill>
              <a:sysClr val="windowText" lastClr="000000"/>
            </a:solidFill>
          </a:endParaRPr>
        </a:p>
      </xdr:txBody>
    </xdr:sp>
    <xdr:clientData/>
  </xdr:twoCellAnchor>
  <xdr:twoCellAnchor>
    <xdr:from>
      <xdr:col>2</xdr:col>
      <xdr:colOff>642937</xdr:colOff>
      <xdr:row>17</xdr:row>
      <xdr:rowOff>166686</xdr:rowOff>
    </xdr:from>
    <xdr:to>
      <xdr:col>5</xdr:col>
      <xdr:colOff>95249</xdr:colOff>
      <xdr:row>20</xdr:row>
      <xdr:rowOff>14287</xdr:rowOff>
    </xdr:to>
    <xdr:sp macro="" textlink="">
      <xdr:nvSpPr>
        <xdr:cNvPr id="67" name="Rectangle: Rounded Corners 66">
          <a:hlinkClick xmlns:r="http://schemas.openxmlformats.org/officeDocument/2006/relationships" r:id="rId29"/>
          <a:extLst>
            <a:ext uri="{FF2B5EF4-FFF2-40B4-BE49-F238E27FC236}">
              <a16:creationId xmlns:a16="http://schemas.microsoft.com/office/drawing/2014/main" id="{75FB9ABA-E233-455D-A9E6-541648C48A2F}"/>
            </a:ext>
          </a:extLst>
        </xdr:cNvPr>
        <xdr:cNvSpPr/>
      </xdr:nvSpPr>
      <xdr:spPr>
        <a:xfrm>
          <a:off x="2281237" y="4919661"/>
          <a:ext cx="1909762"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N" sz="1100" b="1">
              <a:solidFill>
                <a:sysClr val="windowText" lastClr="000000"/>
              </a:solidFill>
              <a:effectLst/>
              <a:latin typeface="+mn-lt"/>
              <a:ea typeface="+mn-ea"/>
              <a:cs typeface="+mn-cs"/>
            </a:rPr>
            <a:t> </a:t>
          </a:r>
          <a:r>
            <a:rPr lang="en-IN" sz="1100" b="1" i="0">
              <a:solidFill>
                <a:sysClr val="windowText" lastClr="000000"/>
              </a:solidFill>
              <a:effectLst/>
              <a:latin typeface="+mn-lt"/>
              <a:ea typeface="+mn-ea"/>
              <a:cs typeface="+mn-cs"/>
            </a:rPr>
            <a:t>Income Statement Assumptions</a:t>
          </a:r>
          <a:endParaRPr lang="en-IN" sz="1600">
            <a:solidFill>
              <a:sysClr val="windowText" lastClr="000000"/>
            </a:solidFill>
            <a:effectLst/>
          </a:endParaRPr>
        </a:p>
        <a:p>
          <a:pPr algn="l"/>
          <a:endParaRPr lang="en-IN" sz="1600">
            <a:solidFill>
              <a:sysClr val="windowText" lastClr="000000"/>
            </a:solidFill>
          </a:endParaRPr>
        </a:p>
      </xdr:txBody>
    </xdr:sp>
    <xdr:clientData/>
  </xdr:twoCellAnchor>
  <xdr:twoCellAnchor>
    <xdr:from>
      <xdr:col>10</xdr:col>
      <xdr:colOff>109536</xdr:colOff>
      <xdr:row>17</xdr:row>
      <xdr:rowOff>121444</xdr:rowOff>
    </xdr:from>
    <xdr:to>
      <xdr:col>12</xdr:col>
      <xdr:colOff>383379</xdr:colOff>
      <xdr:row>19</xdr:row>
      <xdr:rowOff>207170</xdr:rowOff>
    </xdr:to>
    <xdr:sp macro="" textlink="">
      <xdr:nvSpPr>
        <xdr:cNvPr id="68" name="Rectangle: Rounded Corners 67">
          <a:hlinkClick xmlns:r="http://schemas.openxmlformats.org/officeDocument/2006/relationships" r:id="rId30"/>
          <a:extLst>
            <a:ext uri="{FF2B5EF4-FFF2-40B4-BE49-F238E27FC236}">
              <a16:creationId xmlns:a16="http://schemas.microsoft.com/office/drawing/2014/main" id="{82555EE6-4BED-472F-A9E6-06785A37D447}"/>
            </a:ext>
          </a:extLst>
        </xdr:cNvPr>
        <xdr:cNvSpPr/>
      </xdr:nvSpPr>
      <xdr:spPr>
        <a:xfrm>
          <a:off x="8301036" y="4874419"/>
          <a:ext cx="1912143"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t>
          </a:r>
          <a:r>
            <a:rPr lang="en-IN" sz="1100" b="1" i="0">
              <a:solidFill>
                <a:sysClr val="windowText" lastClr="000000"/>
              </a:solidFill>
              <a:effectLst/>
              <a:latin typeface="+mn-lt"/>
              <a:ea typeface="+mn-ea"/>
              <a:cs typeface="+mn-cs"/>
            </a:rPr>
            <a:t>Debt Schedule</a:t>
          </a:r>
          <a:r>
            <a:rPr lang="en-IN" sz="1100" b="1">
              <a:solidFill>
                <a:sysClr val="windowText" lastClr="000000"/>
              </a:solidFill>
              <a:effectLst/>
              <a:latin typeface="+mn-lt"/>
              <a:ea typeface="+mn-ea"/>
              <a:cs typeface="+mn-cs"/>
            </a:rPr>
            <a:t> </a:t>
          </a:r>
          <a:endParaRPr lang="en-IN" sz="1600">
            <a:solidFill>
              <a:sysClr val="windowText" lastClr="000000"/>
            </a:solidFill>
          </a:endParaRPr>
        </a:p>
      </xdr:txBody>
    </xdr:sp>
    <xdr:clientData/>
  </xdr:twoCellAnchor>
  <xdr:twoCellAnchor>
    <xdr:from>
      <xdr:col>2</xdr:col>
      <xdr:colOff>690561</xdr:colOff>
      <xdr:row>23</xdr:row>
      <xdr:rowOff>142876</xdr:rowOff>
    </xdr:from>
    <xdr:to>
      <xdr:col>5</xdr:col>
      <xdr:colOff>142873</xdr:colOff>
      <xdr:row>25</xdr:row>
      <xdr:rowOff>228602</xdr:rowOff>
    </xdr:to>
    <xdr:sp macro="" textlink="">
      <xdr:nvSpPr>
        <xdr:cNvPr id="69" name="Rectangle: Rounded Corners 68">
          <a:hlinkClick xmlns:r="http://schemas.openxmlformats.org/officeDocument/2006/relationships" r:id="rId31"/>
          <a:extLst>
            <a:ext uri="{FF2B5EF4-FFF2-40B4-BE49-F238E27FC236}">
              <a16:creationId xmlns:a16="http://schemas.microsoft.com/office/drawing/2014/main" id="{4ECC1DAF-D051-43F4-8B13-6A311B805330}"/>
            </a:ext>
          </a:extLst>
        </xdr:cNvPr>
        <xdr:cNvSpPr/>
      </xdr:nvSpPr>
      <xdr:spPr>
        <a:xfrm>
          <a:off x="2328861" y="6324601"/>
          <a:ext cx="1909762"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0">
              <a:solidFill>
                <a:sysClr val="windowText" lastClr="000000"/>
              </a:solidFill>
              <a:effectLst/>
              <a:latin typeface="+mn-lt"/>
              <a:ea typeface="+mn-ea"/>
              <a:cs typeface="+mn-cs"/>
            </a:rPr>
            <a:t>Discounted</a:t>
          </a:r>
          <a:r>
            <a:rPr lang="en-IN" sz="1100" b="1" i="0" baseline="0">
              <a:solidFill>
                <a:sysClr val="windowText" lastClr="000000"/>
              </a:solidFill>
              <a:effectLst/>
              <a:latin typeface="+mn-lt"/>
              <a:ea typeface="+mn-ea"/>
              <a:cs typeface="+mn-cs"/>
            </a:rPr>
            <a:t> Cash Flow Model</a:t>
          </a:r>
          <a:endParaRPr lang="en-IN" sz="1600">
            <a:solidFill>
              <a:sysClr val="windowText" lastClr="000000"/>
            </a:solidFill>
          </a:endParaRPr>
        </a:p>
      </xdr:txBody>
    </xdr:sp>
    <xdr:clientData/>
  </xdr:twoCellAnchor>
  <xdr:twoCellAnchor>
    <xdr:from>
      <xdr:col>5</xdr:col>
      <xdr:colOff>271462</xdr:colOff>
      <xdr:row>23</xdr:row>
      <xdr:rowOff>128589</xdr:rowOff>
    </xdr:from>
    <xdr:to>
      <xdr:col>7</xdr:col>
      <xdr:colOff>545304</xdr:colOff>
      <xdr:row>25</xdr:row>
      <xdr:rowOff>214315</xdr:rowOff>
    </xdr:to>
    <xdr:sp macro="" textlink="">
      <xdr:nvSpPr>
        <xdr:cNvPr id="70" name="Rectangle: Rounded Corners 69">
          <a:hlinkClick xmlns:r="http://schemas.openxmlformats.org/officeDocument/2006/relationships" r:id="rId32"/>
          <a:extLst>
            <a:ext uri="{FF2B5EF4-FFF2-40B4-BE49-F238E27FC236}">
              <a16:creationId xmlns:a16="http://schemas.microsoft.com/office/drawing/2014/main" id="{0DC8011D-BE33-4497-A418-FE6482B1CA1B}"/>
            </a:ext>
          </a:extLst>
        </xdr:cNvPr>
        <xdr:cNvSpPr/>
      </xdr:nvSpPr>
      <xdr:spPr>
        <a:xfrm>
          <a:off x="4367212" y="6310314"/>
          <a:ext cx="1912142"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IN" sz="1100" b="1">
              <a:solidFill>
                <a:sysClr val="windowText" lastClr="000000"/>
              </a:solidFill>
              <a:effectLst/>
              <a:latin typeface="+mn-lt"/>
              <a:ea typeface="+mn-ea"/>
              <a:cs typeface="+mn-cs"/>
            </a:rPr>
            <a:t> </a:t>
          </a:r>
          <a:r>
            <a:rPr lang="en-IN" sz="1100" b="1" i="0">
              <a:solidFill>
                <a:sysClr val="windowText" lastClr="000000"/>
              </a:solidFill>
              <a:effectLst/>
              <a:latin typeface="+mn-lt"/>
              <a:ea typeface="+mn-ea"/>
              <a:cs typeface="+mn-cs"/>
            </a:rPr>
            <a:t>Weighted average cost of Capital</a:t>
          </a:r>
          <a:endParaRPr lang="en-IN" sz="1600" b="1">
            <a:solidFill>
              <a:sysClr val="windowText" lastClr="000000"/>
            </a:solidFill>
            <a:effectLst/>
          </a:endParaRPr>
        </a:p>
        <a:p>
          <a:pPr algn="l"/>
          <a:endParaRPr lang="en-IN" sz="1600">
            <a:solidFill>
              <a:sysClr val="windowText" lastClr="000000"/>
            </a:solidFill>
          </a:endParaRPr>
        </a:p>
      </xdr:txBody>
    </xdr:sp>
    <xdr:clientData/>
  </xdr:twoCellAnchor>
  <xdr:twoCellAnchor>
    <xdr:from>
      <xdr:col>7</xdr:col>
      <xdr:colOff>626268</xdr:colOff>
      <xdr:row>23</xdr:row>
      <xdr:rowOff>114300</xdr:rowOff>
    </xdr:from>
    <xdr:to>
      <xdr:col>10</xdr:col>
      <xdr:colOff>78579</xdr:colOff>
      <xdr:row>25</xdr:row>
      <xdr:rowOff>200026</xdr:rowOff>
    </xdr:to>
    <xdr:sp macro="" textlink="">
      <xdr:nvSpPr>
        <xdr:cNvPr id="71" name="Rectangle: Rounded Corners 70">
          <a:hlinkClick xmlns:r="http://schemas.openxmlformats.org/officeDocument/2006/relationships" r:id="rId33"/>
          <a:extLst>
            <a:ext uri="{FF2B5EF4-FFF2-40B4-BE49-F238E27FC236}">
              <a16:creationId xmlns:a16="http://schemas.microsoft.com/office/drawing/2014/main" id="{B99D5EAA-20AB-48C4-99D7-81981D5074E3}"/>
            </a:ext>
          </a:extLst>
        </xdr:cNvPr>
        <xdr:cNvSpPr/>
      </xdr:nvSpPr>
      <xdr:spPr>
        <a:xfrm>
          <a:off x="6360318" y="6296025"/>
          <a:ext cx="1909761"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t>
          </a:r>
          <a:r>
            <a:rPr lang="en-IN" sz="1100" b="1" i="0">
              <a:solidFill>
                <a:sysClr val="windowText" lastClr="000000"/>
              </a:solidFill>
              <a:effectLst/>
              <a:latin typeface="+mn-lt"/>
              <a:ea typeface="+mn-ea"/>
              <a:cs typeface="+mn-cs"/>
            </a:rPr>
            <a:t>BETA</a:t>
          </a:r>
          <a:endParaRPr lang="en-IN" sz="1600">
            <a:solidFill>
              <a:sysClr val="windowText" lastClr="000000"/>
            </a:solidFill>
          </a:endParaRPr>
        </a:p>
      </xdr:txBody>
    </xdr:sp>
    <xdr:clientData/>
  </xdr:twoCellAnchor>
  <xdr:twoCellAnchor>
    <xdr:from>
      <xdr:col>10</xdr:col>
      <xdr:colOff>183356</xdr:colOff>
      <xdr:row>23</xdr:row>
      <xdr:rowOff>100014</xdr:rowOff>
    </xdr:from>
    <xdr:to>
      <xdr:col>12</xdr:col>
      <xdr:colOff>457199</xdr:colOff>
      <xdr:row>25</xdr:row>
      <xdr:rowOff>185740</xdr:rowOff>
    </xdr:to>
    <xdr:sp macro="" textlink="">
      <xdr:nvSpPr>
        <xdr:cNvPr id="72" name="Rectangle: Rounded Corners 71">
          <a:hlinkClick xmlns:r="http://schemas.openxmlformats.org/officeDocument/2006/relationships" r:id="rId34"/>
          <a:extLst>
            <a:ext uri="{FF2B5EF4-FFF2-40B4-BE49-F238E27FC236}">
              <a16:creationId xmlns:a16="http://schemas.microsoft.com/office/drawing/2014/main" id="{AD1B4201-8D9C-42C6-A13F-3D7B243216CC}"/>
            </a:ext>
          </a:extLst>
        </xdr:cNvPr>
        <xdr:cNvSpPr/>
      </xdr:nvSpPr>
      <xdr:spPr>
        <a:xfrm>
          <a:off x="8374856" y="6281739"/>
          <a:ext cx="1912143" cy="56197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solidFill>
                <a:sysClr val="windowText" lastClr="000000"/>
              </a:solidFill>
            </a:rPr>
            <a:t>      </a:t>
          </a:r>
          <a:r>
            <a:rPr lang="en-IN" sz="1100" b="1" i="0">
              <a:solidFill>
                <a:sysClr val="windowText" lastClr="000000"/>
              </a:solidFill>
              <a:effectLst/>
              <a:latin typeface="+mn-lt"/>
              <a:ea typeface="+mn-ea"/>
              <a:cs typeface="+mn-cs"/>
            </a:rPr>
            <a:t>Risk Free Rate</a:t>
          </a:r>
          <a:endParaRPr lang="en-IN" sz="1600">
            <a:solidFill>
              <a:sysClr val="windowText" lastClr="000000"/>
            </a:solidFill>
          </a:endParaRPr>
        </a:p>
      </xdr:txBody>
    </xdr:sp>
    <xdr:clientData/>
  </xdr:twoCellAnchor>
  <xdr:twoCellAnchor>
    <xdr:from>
      <xdr:col>2</xdr:col>
      <xdr:colOff>697708</xdr:colOff>
      <xdr:row>29</xdr:row>
      <xdr:rowOff>197643</xdr:rowOff>
    </xdr:from>
    <xdr:to>
      <xdr:col>5</xdr:col>
      <xdr:colOff>150020</xdr:colOff>
      <xdr:row>31</xdr:row>
      <xdr:rowOff>188119</xdr:rowOff>
    </xdr:to>
    <xdr:sp macro="" textlink="">
      <xdr:nvSpPr>
        <xdr:cNvPr id="73" name="Rectangle: Rounded Corners 72">
          <a:hlinkClick xmlns:r="http://schemas.openxmlformats.org/officeDocument/2006/relationships" r:id="rId35"/>
          <a:extLst>
            <a:ext uri="{FF2B5EF4-FFF2-40B4-BE49-F238E27FC236}">
              <a16:creationId xmlns:a16="http://schemas.microsoft.com/office/drawing/2014/main" id="{B36D57C5-C638-4A29-84DE-9FFF24C413A2}"/>
            </a:ext>
          </a:extLst>
        </xdr:cNvPr>
        <xdr:cNvSpPr/>
      </xdr:nvSpPr>
      <xdr:spPr>
        <a:xfrm>
          <a:off x="2336008" y="7808118"/>
          <a:ext cx="1909762" cy="466726"/>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b="1">
              <a:solidFill>
                <a:sysClr val="windowText" lastClr="000000"/>
              </a:solidFill>
            </a:rPr>
            <a:t>            </a:t>
          </a:r>
          <a:r>
            <a:rPr lang="en-IN" sz="1100" b="1" i="0">
              <a:solidFill>
                <a:sysClr val="windowText" lastClr="000000"/>
              </a:solidFill>
              <a:effectLst/>
              <a:latin typeface="+mn-lt"/>
              <a:ea typeface="+mn-ea"/>
              <a:cs typeface="+mn-cs"/>
            </a:rPr>
            <a:t>GPC</a:t>
          </a:r>
          <a:r>
            <a:rPr lang="en-IN" sz="1600" b="1">
              <a:solidFill>
                <a:sysClr val="windowText" lastClr="000000"/>
              </a:solidFill>
            </a:rPr>
            <a:t>  </a:t>
          </a:r>
          <a:br>
            <a:rPr lang="en-IN" sz="1600">
              <a:solidFill>
                <a:sysClr val="windowText" lastClr="000000"/>
              </a:solidFill>
            </a:rPr>
          </a:br>
          <a:endParaRPr lang="en-IN" sz="1600">
            <a:solidFill>
              <a:sysClr val="windowText" lastClr="00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4976812" cy="1059656"/>
    <xdr:sp macro="" textlink="">
      <xdr:nvSpPr>
        <xdr:cNvPr id="3" name="TextBox 2">
          <a:extLst>
            <a:ext uri="{FF2B5EF4-FFF2-40B4-BE49-F238E27FC236}">
              <a16:creationId xmlns:a16="http://schemas.microsoft.com/office/drawing/2014/main" id="{3E6B8CB5-37DF-4742-9A70-B5C6B8DAB3E0}"/>
            </a:ext>
          </a:extLst>
        </xdr:cNvPr>
        <xdr:cNvSpPr txBox="1"/>
      </xdr:nvSpPr>
      <xdr:spPr>
        <a:xfrm>
          <a:off x="0" y="0"/>
          <a:ext cx="4976812"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chemeClr val="bg1"/>
              </a:solidFill>
            </a:rPr>
            <a:t>COLGATE-PALMOLIVE COMPANY</a:t>
          </a:r>
        </a:p>
        <a:p>
          <a:r>
            <a:rPr lang="en-IN" sz="1400" b="1">
              <a:solidFill>
                <a:schemeClr val="bg1"/>
              </a:solidFill>
            </a:rPr>
            <a:t>Market Approach-Guideline Public</a:t>
          </a:r>
          <a:r>
            <a:rPr lang="en-IN" sz="1400" b="1" baseline="0">
              <a:solidFill>
                <a:schemeClr val="bg1"/>
              </a:solidFill>
            </a:rPr>
            <a:t> Company Method (GPC)</a:t>
          </a:r>
          <a:endParaRPr lang="en-IN" sz="1400" b="1">
            <a:solidFill>
              <a:schemeClr val="bg1"/>
            </a:solidFill>
          </a:endParaRPr>
        </a:p>
        <a:p>
          <a:r>
            <a:rPr lang="en-IN" sz="1200" b="1" i="1">
              <a:solidFill>
                <a:schemeClr val="bg1"/>
              </a:solidFill>
            </a:rPr>
            <a:t>For the years ended December 31,</a:t>
          </a:r>
        </a:p>
        <a:p>
          <a:r>
            <a:rPr lang="en-IN" sz="1200" b="1" i="1">
              <a:solidFill>
                <a:schemeClr val="bg1"/>
              </a:solidFill>
            </a:rPr>
            <a:t>(All values in USD Millions, unless stated otherwise)</a:t>
          </a:r>
        </a:p>
        <a:p>
          <a:endParaRPr lang="en-IN" sz="1100"/>
        </a:p>
      </xdr:txBody>
    </xdr:sp>
    <xdr:clientData/>
  </xdr:oneCellAnchor>
  <xdr:oneCellAnchor>
    <xdr:from>
      <xdr:col>1</xdr:col>
      <xdr:colOff>142875</xdr:colOff>
      <xdr:row>0</xdr:row>
      <xdr:rowOff>130970</xdr:rowOff>
    </xdr:from>
    <xdr:ext cx="3519488" cy="1381124"/>
    <xdr:pic>
      <xdr:nvPicPr>
        <xdr:cNvPr id="12" name="Picture 11">
          <a:extLst>
            <a:ext uri="{FF2B5EF4-FFF2-40B4-BE49-F238E27FC236}">
              <a16:creationId xmlns:a16="http://schemas.microsoft.com/office/drawing/2014/main" id="{E1295574-4F7B-411A-BB85-229DBF84B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130970"/>
          <a:ext cx="3519488" cy="1381124"/>
        </a:xfrm>
        <a:prstGeom prst="rect">
          <a:avLst/>
        </a:prstGeom>
      </xdr:spPr>
    </xdr:pic>
    <xdr:clientData/>
  </xdr:oneCellAnchor>
  <xdr:oneCellAnchor>
    <xdr:from>
      <xdr:col>1</xdr:col>
      <xdr:colOff>142875</xdr:colOff>
      <xdr:row>0</xdr:row>
      <xdr:rowOff>130970</xdr:rowOff>
    </xdr:from>
    <xdr:ext cx="3524251" cy="1381124"/>
    <xdr:pic>
      <xdr:nvPicPr>
        <xdr:cNvPr id="16" name="Picture 15">
          <a:extLst>
            <a:ext uri="{FF2B5EF4-FFF2-40B4-BE49-F238E27FC236}">
              <a16:creationId xmlns:a16="http://schemas.microsoft.com/office/drawing/2014/main" id="{C3CA55BC-6562-4F16-83A2-49028B0E41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130970"/>
          <a:ext cx="3524251" cy="1381124"/>
        </a:xfrm>
        <a:prstGeom prst="rect">
          <a:avLst/>
        </a:prstGeom>
      </xdr:spPr>
    </xdr:pic>
    <xdr:clientData/>
  </xdr:oneCellAnchor>
  <xdr:oneCellAnchor>
    <xdr:from>
      <xdr:col>1</xdr:col>
      <xdr:colOff>142875</xdr:colOff>
      <xdr:row>0</xdr:row>
      <xdr:rowOff>130970</xdr:rowOff>
    </xdr:from>
    <xdr:ext cx="3519488" cy="1381124"/>
    <xdr:pic>
      <xdr:nvPicPr>
        <xdr:cNvPr id="20" name="Picture 19">
          <a:extLst>
            <a:ext uri="{FF2B5EF4-FFF2-40B4-BE49-F238E27FC236}">
              <a16:creationId xmlns:a16="http://schemas.microsoft.com/office/drawing/2014/main" id="{87F29309-6EB0-409A-9DED-CE19C198D5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130970"/>
          <a:ext cx="3519488" cy="1381124"/>
        </a:xfrm>
        <a:prstGeom prst="rect">
          <a:avLst/>
        </a:prstGeom>
      </xdr:spPr>
    </xdr:pic>
    <xdr:clientData/>
  </xdr:oneCellAnchor>
  <xdr:twoCellAnchor>
    <xdr:from>
      <xdr:col>0</xdr:col>
      <xdr:colOff>11906</xdr:colOff>
      <xdr:row>0</xdr:row>
      <xdr:rowOff>23811</xdr:rowOff>
    </xdr:from>
    <xdr:to>
      <xdr:col>9</xdr:col>
      <xdr:colOff>11906</xdr:colOff>
      <xdr:row>8</xdr:row>
      <xdr:rowOff>23812</xdr:rowOff>
    </xdr:to>
    <xdr:sp macro="" textlink="">
      <xdr:nvSpPr>
        <xdr:cNvPr id="21" name="Rectangle 20">
          <a:extLst>
            <a:ext uri="{FF2B5EF4-FFF2-40B4-BE49-F238E27FC236}">
              <a16:creationId xmlns:a16="http://schemas.microsoft.com/office/drawing/2014/main" id="{020BF308-54C3-4700-93A9-216B1767BFE7}"/>
            </a:ext>
          </a:extLst>
        </xdr:cNvPr>
        <xdr:cNvSpPr/>
      </xdr:nvSpPr>
      <xdr:spPr>
        <a:xfrm>
          <a:off x="11906" y="23811"/>
          <a:ext cx="10120313" cy="1535907"/>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3</xdr:col>
      <xdr:colOff>904874</xdr:colOff>
      <xdr:row>2</xdr:row>
      <xdr:rowOff>130015</xdr:rowOff>
    </xdr:from>
    <xdr:ext cx="4048124" cy="1015365"/>
    <xdr:sp macro="" textlink="">
      <xdr:nvSpPr>
        <xdr:cNvPr id="22" name="TextBox 21">
          <a:extLst>
            <a:ext uri="{FF2B5EF4-FFF2-40B4-BE49-F238E27FC236}">
              <a16:creationId xmlns:a16="http://schemas.microsoft.com/office/drawing/2014/main" id="{FF63F452-B7B6-4BF5-B7F6-3B02CADA9D69}"/>
            </a:ext>
          </a:extLst>
        </xdr:cNvPr>
        <xdr:cNvSpPr txBox="1"/>
      </xdr:nvSpPr>
      <xdr:spPr>
        <a:xfrm>
          <a:off x="4512468" y="511015"/>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 </a:t>
          </a:r>
        </a:p>
        <a:p>
          <a:r>
            <a:rPr lang="en-IN" sz="1400" b="1">
              <a:solidFill>
                <a:sysClr val="windowText" lastClr="000000"/>
              </a:solidFill>
            </a:rPr>
            <a:t>Guideline</a:t>
          </a:r>
          <a:r>
            <a:rPr lang="en-IN" sz="1400" b="1" baseline="0">
              <a:solidFill>
                <a:sysClr val="windowText" lastClr="000000"/>
              </a:solidFill>
            </a:rPr>
            <a:t> Pulic Companies Comparasion</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oneCellAnchor>
    <xdr:from>
      <xdr:col>1</xdr:col>
      <xdr:colOff>142875</xdr:colOff>
      <xdr:row>0</xdr:row>
      <xdr:rowOff>130970</xdr:rowOff>
    </xdr:from>
    <xdr:ext cx="3524251" cy="1381124"/>
    <xdr:pic>
      <xdr:nvPicPr>
        <xdr:cNvPr id="24" name="Picture 23">
          <a:extLst>
            <a:ext uri="{FF2B5EF4-FFF2-40B4-BE49-F238E27FC236}">
              <a16:creationId xmlns:a16="http://schemas.microsoft.com/office/drawing/2014/main" id="{1C91B90A-603D-4E15-9F72-952078FD6D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130970"/>
          <a:ext cx="3524251" cy="138112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417094" cy="547687"/>
    <xdr:sp macro="" textlink="">
      <xdr:nvSpPr>
        <xdr:cNvPr id="9" name="TextBox 8">
          <a:extLst>
            <a:ext uri="{FF2B5EF4-FFF2-40B4-BE49-F238E27FC236}">
              <a16:creationId xmlns:a16="http://schemas.microsoft.com/office/drawing/2014/main" id="{223489FF-872E-4A35-B1A4-B00F3B376066}"/>
            </a:ext>
          </a:extLst>
        </xdr:cNvPr>
        <xdr:cNvSpPr txBox="1"/>
      </xdr:nvSpPr>
      <xdr:spPr>
        <a:xfrm>
          <a:off x="0" y="0"/>
          <a:ext cx="3417094" cy="5476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IN" sz="1100"/>
        </a:p>
      </xdr:txBody>
    </xdr:sp>
    <xdr:clientData/>
  </xdr:oneCellAnchor>
  <xdr:twoCellAnchor>
    <xdr:from>
      <xdr:col>7</xdr:col>
      <xdr:colOff>159544</xdr:colOff>
      <xdr:row>1</xdr:row>
      <xdr:rowOff>169070</xdr:rowOff>
    </xdr:from>
    <xdr:to>
      <xdr:col>8</xdr:col>
      <xdr:colOff>130968</xdr:colOff>
      <xdr:row>3</xdr:row>
      <xdr:rowOff>78583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284D01A9-E1DD-48AB-9BFB-152C718274CA}"/>
            </a:ext>
          </a:extLst>
        </xdr:cNvPr>
        <xdr:cNvSpPr/>
      </xdr:nvSpPr>
      <xdr:spPr>
        <a:xfrm>
          <a:off x="6255544" y="369095"/>
          <a:ext cx="581024" cy="3857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i="1" u="sng"/>
        </a:p>
      </xdr:txBody>
    </xdr:sp>
    <xdr:clientData/>
  </xdr:twoCellAnchor>
  <xdr:oneCellAnchor>
    <xdr:from>
      <xdr:col>0</xdr:col>
      <xdr:colOff>238125</xdr:colOff>
      <xdr:row>0</xdr:row>
      <xdr:rowOff>119062</xdr:rowOff>
    </xdr:from>
    <xdr:ext cx="3188496" cy="464344"/>
    <xdr:pic>
      <xdr:nvPicPr>
        <xdr:cNvPr id="12" name="Picture 11" descr="File:Colgate-Palmolive logo.svg - Wikipedia">
          <a:extLst>
            <a:ext uri="{FF2B5EF4-FFF2-40B4-BE49-F238E27FC236}">
              <a16:creationId xmlns:a16="http://schemas.microsoft.com/office/drawing/2014/main" id="{B6A1FBB6-A7A0-4394-B666-2FB5F32B8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8496" cy="4643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2.xml><?xml version="1.0" encoding="utf-8"?>
<xdr:wsDr xmlns:xdr="http://schemas.openxmlformats.org/drawingml/2006/spreadsheetDrawing" xmlns:a="http://schemas.openxmlformats.org/drawingml/2006/main">
  <xdr:twoCellAnchor>
    <xdr:from>
      <xdr:col>1</xdr:col>
      <xdr:colOff>87601</xdr:colOff>
      <xdr:row>94</xdr:row>
      <xdr:rowOff>91440</xdr:rowOff>
    </xdr:from>
    <xdr:to>
      <xdr:col>5</xdr:col>
      <xdr:colOff>83820</xdr:colOff>
      <xdr:row>109</xdr:row>
      <xdr:rowOff>59358</xdr:rowOff>
    </xdr:to>
    <xdr:graphicFrame macro="">
      <xdr:nvGraphicFramePr>
        <xdr:cNvPr id="9" name="Chart 8">
          <a:extLst>
            <a:ext uri="{FF2B5EF4-FFF2-40B4-BE49-F238E27FC236}">
              <a16:creationId xmlns:a16="http://schemas.microsoft.com/office/drawing/2014/main" id="{3B985734-7453-FD66-E311-7E59EE8854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597297</xdr:colOff>
      <xdr:row>32</xdr:row>
      <xdr:rowOff>44034</xdr:rowOff>
    </xdr:from>
    <xdr:to>
      <xdr:col>4</xdr:col>
      <xdr:colOff>59240</xdr:colOff>
      <xdr:row>48</xdr:row>
      <xdr:rowOff>155794</xdr:rowOff>
    </xdr:to>
    <xdr:graphicFrame macro="">
      <xdr:nvGraphicFramePr>
        <xdr:cNvPr id="5" name="Chart 4">
          <a:extLst>
            <a:ext uri="{FF2B5EF4-FFF2-40B4-BE49-F238E27FC236}">
              <a16:creationId xmlns:a16="http://schemas.microsoft.com/office/drawing/2014/main" id="{6EF9FB3C-9B21-47AA-A53F-CCCD24B8F7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608727</xdr:colOff>
      <xdr:row>33</xdr:row>
      <xdr:rowOff>170187</xdr:rowOff>
    </xdr:from>
    <xdr:to>
      <xdr:col>3</xdr:col>
      <xdr:colOff>364040</xdr:colOff>
      <xdr:row>46</xdr:row>
      <xdr:rowOff>62660</xdr:rowOff>
    </xdr:to>
    <xdr:graphicFrame macro="">
      <xdr:nvGraphicFramePr>
        <xdr:cNvPr id="3" name="Chart 2">
          <a:extLst>
            <a:ext uri="{FF2B5EF4-FFF2-40B4-BE49-F238E27FC236}">
              <a16:creationId xmlns:a16="http://schemas.microsoft.com/office/drawing/2014/main" id="{C17D5748-B94B-4357-BCEA-96C8599F8F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105840</xdr:colOff>
      <xdr:row>10</xdr:row>
      <xdr:rowOff>33866</xdr:rowOff>
    </xdr:from>
    <xdr:to>
      <xdr:col>37</xdr:col>
      <xdr:colOff>490650</xdr:colOff>
      <xdr:row>26</xdr:row>
      <xdr:rowOff>22013</xdr:rowOff>
    </xdr:to>
    <xdr:graphicFrame macro="">
      <xdr:nvGraphicFramePr>
        <xdr:cNvPr id="6" name="Chart 5">
          <a:extLst>
            <a:ext uri="{FF2B5EF4-FFF2-40B4-BE49-F238E27FC236}">
              <a16:creationId xmlns:a16="http://schemas.microsoft.com/office/drawing/2014/main" id="{1EAD6F1B-8266-40BF-9C27-B1241BFA9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324908</xdr:colOff>
      <xdr:row>13</xdr:row>
      <xdr:rowOff>19463</xdr:rowOff>
    </xdr:from>
    <xdr:to>
      <xdr:col>31</xdr:col>
      <xdr:colOff>393488</xdr:colOff>
      <xdr:row>24</xdr:row>
      <xdr:rowOff>191337</xdr:rowOff>
    </xdr:to>
    <xdr:graphicFrame macro="">
      <xdr:nvGraphicFramePr>
        <xdr:cNvPr id="8" name="Chart 7">
          <a:extLst>
            <a:ext uri="{FF2B5EF4-FFF2-40B4-BE49-F238E27FC236}">
              <a16:creationId xmlns:a16="http://schemas.microsoft.com/office/drawing/2014/main" id="{5CDD7A3E-2389-4631-BCE4-F27070D41F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134314</xdr:colOff>
      <xdr:row>94</xdr:row>
      <xdr:rowOff>60984</xdr:rowOff>
    </xdr:from>
    <xdr:to>
      <xdr:col>12</xdr:col>
      <xdr:colOff>305764</xdr:colOff>
      <xdr:row>109</xdr:row>
      <xdr:rowOff>62665</xdr:rowOff>
    </xdr:to>
    <xdr:graphicFrame macro="">
      <xdr:nvGraphicFramePr>
        <xdr:cNvPr id="11" name="Chart 10">
          <a:extLst>
            <a:ext uri="{FF2B5EF4-FFF2-40B4-BE49-F238E27FC236}">
              <a16:creationId xmlns:a16="http://schemas.microsoft.com/office/drawing/2014/main" id="{B7486482-2559-7348-A156-16940F70C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1473177</xdr:colOff>
      <xdr:row>94</xdr:row>
      <xdr:rowOff>127843</xdr:rowOff>
    </xdr:from>
    <xdr:to>
      <xdr:col>1</xdr:col>
      <xdr:colOff>1964243</xdr:colOff>
      <xdr:row>110</xdr:row>
      <xdr:rowOff>30566</xdr:rowOff>
    </xdr:to>
    <xdr:graphicFrame macro="">
      <xdr:nvGraphicFramePr>
        <xdr:cNvPr id="10" name="Chart 9">
          <a:extLst>
            <a:ext uri="{FF2B5EF4-FFF2-40B4-BE49-F238E27FC236}">
              <a16:creationId xmlns:a16="http://schemas.microsoft.com/office/drawing/2014/main" id="{80625B9A-A62D-4B5A-AE63-C6B8643AD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238125</xdr:colOff>
      <xdr:row>33</xdr:row>
      <xdr:rowOff>28575</xdr:rowOff>
    </xdr:from>
    <xdr:to>
      <xdr:col>11</xdr:col>
      <xdr:colOff>542925</xdr:colOff>
      <xdr:row>48</xdr:row>
      <xdr:rowOff>57150</xdr:rowOff>
    </xdr:to>
    <xdr:graphicFrame macro="">
      <xdr:nvGraphicFramePr>
        <xdr:cNvPr id="14" name="Chart 13">
          <a:extLst>
            <a:ext uri="{FF2B5EF4-FFF2-40B4-BE49-F238E27FC236}">
              <a16:creationId xmlns:a16="http://schemas.microsoft.com/office/drawing/2014/main" id="{B8CB149A-8E73-4F79-818A-29931B247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2133599</xdr:colOff>
      <xdr:row>52</xdr:row>
      <xdr:rowOff>95251</xdr:rowOff>
    </xdr:from>
    <xdr:to>
      <xdr:col>3</xdr:col>
      <xdr:colOff>152400</xdr:colOff>
      <xdr:row>67</xdr:row>
      <xdr:rowOff>57150</xdr:rowOff>
    </xdr:to>
    <xdr:graphicFrame macro="">
      <xdr:nvGraphicFramePr>
        <xdr:cNvPr id="16" name="Chart 15">
          <a:extLst>
            <a:ext uri="{FF2B5EF4-FFF2-40B4-BE49-F238E27FC236}">
              <a16:creationId xmlns:a16="http://schemas.microsoft.com/office/drawing/2014/main" id="{12CC7393-1E72-4022-A28B-5BD9EC869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438149</xdr:colOff>
      <xdr:row>52</xdr:row>
      <xdr:rowOff>95251</xdr:rowOff>
    </xdr:from>
    <xdr:to>
      <xdr:col>6</xdr:col>
      <xdr:colOff>228600</xdr:colOff>
      <xdr:row>67</xdr:row>
      <xdr:rowOff>57150</xdr:rowOff>
    </xdr:to>
    <xdr:graphicFrame macro="">
      <xdr:nvGraphicFramePr>
        <xdr:cNvPr id="17" name="Chart 16">
          <a:extLst>
            <a:ext uri="{FF2B5EF4-FFF2-40B4-BE49-F238E27FC236}">
              <a16:creationId xmlns:a16="http://schemas.microsoft.com/office/drawing/2014/main" id="{A52837BC-F468-437A-BA8F-19FD3A76B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419099</xdr:colOff>
      <xdr:row>52</xdr:row>
      <xdr:rowOff>95251</xdr:rowOff>
    </xdr:from>
    <xdr:to>
      <xdr:col>9</xdr:col>
      <xdr:colOff>209550</xdr:colOff>
      <xdr:row>67</xdr:row>
      <xdr:rowOff>57150</xdr:rowOff>
    </xdr:to>
    <xdr:graphicFrame macro="">
      <xdr:nvGraphicFramePr>
        <xdr:cNvPr id="18" name="Chart 17">
          <a:extLst>
            <a:ext uri="{FF2B5EF4-FFF2-40B4-BE49-F238E27FC236}">
              <a16:creationId xmlns:a16="http://schemas.microsoft.com/office/drawing/2014/main" id="{AE886069-857A-4ACA-9771-C8F4DBBE9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352424</xdr:colOff>
      <xdr:row>52</xdr:row>
      <xdr:rowOff>104776</xdr:rowOff>
    </xdr:from>
    <xdr:to>
      <xdr:col>12</xdr:col>
      <xdr:colOff>142875</xdr:colOff>
      <xdr:row>67</xdr:row>
      <xdr:rowOff>66675</xdr:rowOff>
    </xdr:to>
    <xdr:graphicFrame macro="">
      <xdr:nvGraphicFramePr>
        <xdr:cNvPr id="19" name="Chart 18">
          <a:extLst>
            <a:ext uri="{FF2B5EF4-FFF2-40B4-BE49-F238E27FC236}">
              <a16:creationId xmlns:a16="http://schemas.microsoft.com/office/drawing/2014/main" id="{3F433419-D366-4055-AA8C-7A7662ED7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238125</xdr:colOff>
      <xdr:row>52</xdr:row>
      <xdr:rowOff>76200</xdr:rowOff>
    </xdr:from>
    <xdr:to>
      <xdr:col>1</xdr:col>
      <xdr:colOff>1857376</xdr:colOff>
      <xdr:row>67</xdr:row>
      <xdr:rowOff>38099</xdr:rowOff>
    </xdr:to>
    <xdr:graphicFrame macro="">
      <xdr:nvGraphicFramePr>
        <xdr:cNvPr id="12" name="Chart 11">
          <a:extLst>
            <a:ext uri="{FF2B5EF4-FFF2-40B4-BE49-F238E27FC236}">
              <a16:creationId xmlns:a16="http://schemas.microsoft.com/office/drawing/2014/main" id="{49B3E14E-6C69-4C54-996E-32CA4F5CE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1423988</xdr:colOff>
      <xdr:row>117</xdr:row>
      <xdr:rowOff>38100</xdr:rowOff>
    </xdr:from>
    <xdr:to>
      <xdr:col>11</xdr:col>
      <xdr:colOff>533400</xdr:colOff>
      <xdr:row>132</xdr:row>
      <xdr:rowOff>66675</xdr:rowOff>
    </xdr:to>
    <xdr:graphicFrame macro="">
      <xdr:nvGraphicFramePr>
        <xdr:cNvPr id="13" name="Chart 12">
          <a:extLst>
            <a:ext uri="{FF2B5EF4-FFF2-40B4-BE49-F238E27FC236}">
              <a16:creationId xmlns:a16="http://schemas.microsoft.com/office/drawing/2014/main" id="{E58742B9-65F3-3139-C77B-C9F8ED10B1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0</xdr:col>
      <xdr:colOff>0</xdr:colOff>
      <xdr:row>0</xdr:row>
      <xdr:rowOff>0</xdr:rowOff>
    </xdr:from>
    <xdr:ext cx="4976812" cy="1059656"/>
    <xdr:sp macro="" textlink="">
      <xdr:nvSpPr>
        <xdr:cNvPr id="20" name="TextBox 19">
          <a:extLst>
            <a:ext uri="{FF2B5EF4-FFF2-40B4-BE49-F238E27FC236}">
              <a16:creationId xmlns:a16="http://schemas.microsoft.com/office/drawing/2014/main" id="{F69F3577-3B3A-459A-9DA0-A880213A1F5F}"/>
            </a:ext>
          </a:extLst>
        </xdr:cNvPr>
        <xdr:cNvSpPr txBox="1"/>
      </xdr:nvSpPr>
      <xdr:spPr>
        <a:xfrm>
          <a:off x="0" y="0"/>
          <a:ext cx="4976812"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chemeClr val="bg1"/>
              </a:solidFill>
            </a:rPr>
            <a:t>COLGATE-PALMOLIVE COMPANY</a:t>
          </a:r>
        </a:p>
        <a:p>
          <a:r>
            <a:rPr lang="en-IN" sz="1400" b="1">
              <a:solidFill>
                <a:schemeClr val="bg1"/>
              </a:solidFill>
            </a:rPr>
            <a:t>Risk Free Rate</a:t>
          </a:r>
        </a:p>
        <a:p>
          <a:r>
            <a:rPr lang="en-IN" sz="1200" b="1" i="1">
              <a:solidFill>
                <a:schemeClr val="bg1"/>
              </a:solidFill>
            </a:rPr>
            <a:t>For the years ended December 31,</a:t>
          </a:r>
        </a:p>
        <a:p>
          <a:r>
            <a:rPr lang="en-IN" sz="1200" b="1" i="1">
              <a:solidFill>
                <a:schemeClr val="bg1"/>
              </a:solidFill>
            </a:rPr>
            <a:t>(All values in USD Millions, unless stated otherwise)</a:t>
          </a:r>
        </a:p>
        <a:p>
          <a:endParaRPr lang="en-IN" sz="1100"/>
        </a:p>
      </xdr:txBody>
    </xdr:sp>
    <xdr:clientData/>
  </xdr:oneCellAnchor>
  <xdr:twoCellAnchor>
    <xdr:from>
      <xdr:col>11</xdr:col>
      <xdr:colOff>28575</xdr:colOff>
      <xdr:row>4</xdr:row>
      <xdr:rowOff>47625</xdr:rowOff>
    </xdr:from>
    <xdr:to>
      <xdr:col>13</xdr:col>
      <xdr:colOff>323850</xdr:colOff>
      <xdr:row>5</xdr:row>
      <xdr:rowOff>133350</xdr:rowOff>
    </xdr:to>
    <xdr:sp macro="" textlink="">
      <xdr:nvSpPr>
        <xdr:cNvPr id="21" name="Rectangle 20">
          <a:hlinkClick xmlns:r="http://schemas.openxmlformats.org/officeDocument/2006/relationships" r:id="rId15"/>
          <a:extLst>
            <a:ext uri="{FF2B5EF4-FFF2-40B4-BE49-F238E27FC236}">
              <a16:creationId xmlns:a16="http://schemas.microsoft.com/office/drawing/2014/main" id="{7A101040-3DB6-43D9-8D53-ACB52DD245F4}"/>
            </a:ext>
          </a:extLst>
        </xdr:cNvPr>
        <xdr:cNvSpPr/>
      </xdr:nvSpPr>
      <xdr:spPr>
        <a:xfrm>
          <a:off x="6467475" y="809625"/>
          <a:ext cx="1514475"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11</xdr:col>
      <xdr:colOff>2381</xdr:colOff>
      <xdr:row>4</xdr:row>
      <xdr:rowOff>57150</xdr:rowOff>
    </xdr:from>
    <xdr:to>
      <xdr:col>13</xdr:col>
      <xdr:colOff>285750</xdr:colOff>
      <xdr:row>5</xdr:row>
      <xdr:rowOff>142875</xdr:rowOff>
    </xdr:to>
    <xdr:sp macro="" textlink="">
      <xdr:nvSpPr>
        <xdr:cNvPr id="22" name="Rectangle 21">
          <a:hlinkClick xmlns:r="http://schemas.openxmlformats.org/officeDocument/2006/relationships" r:id="rId15"/>
          <a:extLst>
            <a:ext uri="{FF2B5EF4-FFF2-40B4-BE49-F238E27FC236}">
              <a16:creationId xmlns:a16="http://schemas.microsoft.com/office/drawing/2014/main" id="{0F81AD80-7300-4346-BEBA-68BAED3990C9}"/>
            </a:ext>
          </a:extLst>
        </xdr:cNvPr>
        <xdr:cNvSpPr/>
      </xdr:nvSpPr>
      <xdr:spPr>
        <a:xfrm>
          <a:off x="6441281" y="819150"/>
          <a:ext cx="1502569"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23" name="Rectangle 22">
          <a:hlinkClick xmlns:r="http://schemas.openxmlformats.org/officeDocument/2006/relationships" r:id="rId15"/>
          <a:extLst>
            <a:ext uri="{FF2B5EF4-FFF2-40B4-BE49-F238E27FC236}">
              <a16:creationId xmlns:a16="http://schemas.microsoft.com/office/drawing/2014/main" id="{4E280ECC-E15C-4367-B443-7752934B8D78}"/>
            </a:ext>
          </a:extLst>
        </xdr:cNvPr>
        <xdr:cNvSpPr/>
      </xdr:nvSpPr>
      <xdr:spPr>
        <a:xfrm>
          <a:off x="6105525" y="742950"/>
          <a:ext cx="11144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24" name="Rectangle 23">
          <a:extLst>
            <a:ext uri="{FF2B5EF4-FFF2-40B4-BE49-F238E27FC236}">
              <a16:creationId xmlns:a16="http://schemas.microsoft.com/office/drawing/2014/main" id="{98C689F3-A839-49B4-AC19-2A99C71365D2}"/>
            </a:ext>
          </a:extLst>
        </xdr:cNvPr>
        <xdr:cNvSpPr/>
      </xdr:nvSpPr>
      <xdr:spPr>
        <a:xfrm>
          <a:off x="11906" y="23811"/>
          <a:ext cx="7239000" cy="1524001"/>
        </a:xfrm>
        <a:prstGeom prst="rect">
          <a:avLst/>
        </a:prstGeom>
        <a:blipFill>
          <a:blip xmlns:r="http://schemas.openxmlformats.org/officeDocument/2006/relationships" r:embed="rId16"/>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5" name="TextBox 24">
          <a:extLst>
            <a:ext uri="{FF2B5EF4-FFF2-40B4-BE49-F238E27FC236}">
              <a16:creationId xmlns:a16="http://schemas.microsoft.com/office/drawing/2014/main" id="{6C1D0DA4-82D5-4328-8AC4-D9D3F6AD4E5C}"/>
            </a:ext>
          </a:extLst>
        </xdr:cNvPr>
        <xdr:cNvSpPr txBox="1"/>
      </xdr:nvSpPr>
      <xdr:spPr>
        <a:xfrm>
          <a:off x="341471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26" name="Rectangle 25">
          <a:hlinkClick xmlns:r="http://schemas.openxmlformats.org/officeDocument/2006/relationships" r:id="rId15"/>
          <a:extLst>
            <a:ext uri="{FF2B5EF4-FFF2-40B4-BE49-F238E27FC236}">
              <a16:creationId xmlns:a16="http://schemas.microsoft.com/office/drawing/2014/main" id="{5AEFE04A-848F-4BFD-B7E1-5FBEA7D70937}"/>
            </a:ext>
          </a:extLst>
        </xdr:cNvPr>
        <xdr:cNvSpPr/>
      </xdr:nvSpPr>
      <xdr:spPr>
        <a:xfrm>
          <a:off x="6244205" y="795873"/>
          <a:ext cx="14144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27" name="Picture 26">
          <a:extLst>
            <a:ext uri="{FF2B5EF4-FFF2-40B4-BE49-F238E27FC236}">
              <a16:creationId xmlns:a16="http://schemas.microsoft.com/office/drawing/2014/main" id="{37D6F8B1-671F-4E9D-B96C-1A584502D1F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57200" y="130970"/>
          <a:ext cx="3519488"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8" name="Rectangle 27">
          <a:extLst>
            <a:ext uri="{FF2B5EF4-FFF2-40B4-BE49-F238E27FC236}">
              <a16:creationId xmlns:a16="http://schemas.microsoft.com/office/drawing/2014/main" id="{FA18C0CD-97FF-4F3C-BD38-575C4F603634}"/>
            </a:ext>
          </a:extLst>
        </xdr:cNvPr>
        <xdr:cNvSpPr/>
      </xdr:nvSpPr>
      <xdr:spPr>
        <a:xfrm>
          <a:off x="11906" y="23811"/>
          <a:ext cx="7239000" cy="1524001"/>
        </a:xfrm>
        <a:prstGeom prst="rect">
          <a:avLst/>
        </a:prstGeom>
        <a:blipFill>
          <a:blip xmlns:r="http://schemas.openxmlformats.org/officeDocument/2006/relationships" r:embed="rId16"/>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9" name="TextBox 28">
          <a:extLst>
            <a:ext uri="{FF2B5EF4-FFF2-40B4-BE49-F238E27FC236}">
              <a16:creationId xmlns:a16="http://schemas.microsoft.com/office/drawing/2014/main" id="{7F7534A6-5A0C-4F36-8F7D-47D37608C48D}"/>
            </a:ext>
          </a:extLst>
        </xdr:cNvPr>
        <xdr:cNvSpPr txBox="1"/>
      </xdr:nvSpPr>
      <xdr:spPr>
        <a:xfrm>
          <a:off x="341471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30" name="Rectangle 29">
          <a:hlinkClick xmlns:r="http://schemas.openxmlformats.org/officeDocument/2006/relationships" r:id="rId15"/>
          <a:extLst>
            <a:ext uri="{FF2B5EF4-FFF2-40B4-BE49-F238E27FC236}">
              <a16:creationId xmlns:a16="http://schemas.microsoft.com/office/drawing/2014/main" id="{6F71299A-03C0-4704-9387-ABFD28F8FDAB}"/>
            </a:ext>
          </a:extLst>
        </xdr:cNvPr>
        <xdr:cNvSpPr/>
      </xdr:nvSpPr>
      <xdr:spPr>
        <a:xfrm>
          <a:off x="6244205" y="795873"/>
          <a:ext cx="14144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31" name="Picture 30">
          <a:extLst>
            <a:ext uri="{FF2B5EF4-FFF2-40B4-BE49-F238E27FC236}">
              <a16:creationId xmlns:a16="http://schemas.microsoft.com/office/drawing/2014/main" id="{95BFE809-2D6E-47FE-B5DA-B3A2CC60BC9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5720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32" name="Rectangle 31">
          <a:extLst>
            <a:ext uri="{FF2B5EF4-FFF2-40B4-BE49-F238E27FC236}">
              <a16:creationId xmlns:a16="http://schemas.microsoft.com/office/drawing/2014/main" id="{4EE3DCDB-FE19-4222-8031-A5931AB9DC52}"/>
            </a:ext>
          </a:extLst>
        </xdr:cNvPr>
        <xdr:cNvSpPr/>
      </xdr:nvSpPr>
      <xdr:spPr>
        <a:xfrm>
          <a:off x="11906" y="23811"/>
          <a:ext cx="7239000" cy="1524001"/>
        </a:xfrm>
        <a:prstGeom prst="rect">
          <a:avLst/>
        </a:prstGeom>
        <a:blipFill>
          <a:blip xmlns:r="http://schemas.openxmlformats.org/officeDocument/2006/relationships" r:embed="rId16"/>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33" name="TextBox 32">
          <a:extLst>
            <a:ext uri="{FF2B5EF4-FFF2-40B4-BE49-F238E27FC236}">
              <a16:creationId xmlns:a16="http://schemas.microsoft.com/office/drawing/2014/main" id="{2A9EAFC8-AF9B-4676-88DD-FD6AA5CB9226}"/>
            </a:ext>
          </a:extLst>
        </xdr:cNvPr>
        <xdr:cNvSpPr txBox="1"/>
      </xdr:nvSpPr>
      <xdr:spPr>
        <a:xfrm>
          <a:off x="3414712"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13</xdr:col>
      <xdr:colOff>567</xdr:colOff>
      <xdr:row>5</xdr:row>
      <xdr:rowOff>114307</xdr:rowOff>
    </xdr:to>
    <xdr:sp macro="" textlink="">
      <xdr:nvSpPr>
        <xdr:cNvPr id="34" name="Rectangle 33">
          <a:hlinkClick xmlns:r="http://schemas.openxmlformats.org/officeDocument/2006/relationships" r:id="rId15"/>
          <a:extLst>
            <a:ext uri="{FF2B5EF4-FFF2-40B4-BE49-F238E27FC236}">
              <a16:creationId xmlns:a16="http://schemas.microsoft.com/office/drawing/2014/main" id="{DF680EC9-D749-4091-866E-31277FF7A406}"/>
            </a:ext>
          </a:extLst>
        </xdr:cNvPr>
        <xdr:cNvSpPr/>
      </xdr:nvSpPr>
      <xdr:spPr>
        <a:xfrm>
          <a:off x="6244205" y="795873"/>
          <a:ext cx="141446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19488" cy="1381124"/>
    <xdr:pic>
      <xdr:nvPicPr>
        <xdr:cNvPr id="35" name="Picture 34">
          <a:extLst>
            <a:ext uri="{FF2B5EF4-FFF2-40B4-BE49-F238E27FC236}">
              <a16:creationId xmlns:a16="http://schemas.microsoft.com/office/drawing/2014/main" id="{C13A4234-039B-4D6E-B86A-F2DE2F80A96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57200" y="130970"/>
          <a:ext cx="3519488" cy="1381124"/>
        </a:xfrm>
        <a:prstGeom prst="rect">
          <a:avLst/>
        </a:prstGeom>
      </xdr:spPr>
    </xdr:pic>
    <xdr:clientData/>
  </xdr:oneCellAnchor>
  <xdr:twoCellAnchor>
    <xdr:from>
      <xdr:col>0</xdr:col>
      <xdr:colOff>11906</xdr:colOff>
      <xdr:row>0</xdr:row>
      <xdr:rowOff>23811</xdr:rowOff>
    </xdr:from>
    <xdr:to>
      <xdr:col>12</xdr:col>
      <xdr:colOff>595312</xdr:colOff>
      <xdr:row>8</xdr:row>
      <xdr:rowOff>23812</xdr:rowOff>
    </xdr:to>
    <xdr:sp macro="" textlink="">
      <xdr:nvSpPr>
        <xdr:cNvPr id="36" name="Rectangle 35">
          <a:extLst>
            <a:ext uri="{FF2B5EF4-FFF2-40B4-BE49-F238E27FC236}">
              <a16:creationId xmlns:a16="http://schemas.microsoft.com/office/drawing/2014/main" id="{CE139F47-3BFB-4B8A-80C0-4BEAD3A6C692}"/>
            </a:ext>
          </a:extLst>
        </xdr:cNvPr>
        <xdr:cNvSpPr/>
      </xdr:nvSpPr>
      <xdr:spPr>
        <a:xfrm>
          <a:off x="11906" y="23811"/>
          <a:ext cx="9810750" cy="1535907"/>
        </a:xfrm>
        <a:prstGeom prst="rect">
          <a:avLst/>
        </a:prstGeom>
        <a:blipFill>
          <a:blip xmlns:r="http://schemas.openxmlformats.org/officeDocument/2006/relationships" r:embed="rId16"/>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142875</xdr:colOff>
      <xdr:row>1</xdr:row>
      <xdr:rowOff>58577</xdr:rowOff>
    </xdr:from>
    <xdr:ext cx="4048124" cy="1015365"/>
    <xdr:sp macro="" textlink="">
      <xdr:nvSpPr>
        <xdr:cNvPr id="37" name="TextBox 36">
          <a:extLst>
            <a:ext uri="{FF2B5EF4-FFF2-40B4-BE49-F238E27FC236}">
              <a16:creationId xmlns:a16="http://schemas.microsoft.com/office/drawing/2014/main" id="{20888EF3-23A2-4B5A-A22C-28099F02B9FB}"/>
            </a:ext>
          </a:extLst>
        </xdr:cNvPr>
        <xdr:cNvSpPr txBox="1"/>
      </xdr:nvSpPr>
      <xdr:spPr>
        <a:xfrm>
          <a:off x="3533775" y="249077"/>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Charts</a:t>
          </a: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oneCellAnchor>
    <xdr:from>
      <xdr:col>0</xdr:col>
      <xdr:colOff>0</xdr:colOff>
      <xdr:row>0</xdr:row>
      <xdr:rowOff>95251</xdr:rowOff>
    </xdr:from>
    <xdr:ext cx="3524251" cy="1381124"/>
    <xdr:pic>
      <xdr:nvPicPr>
        <xdr:cNvPr id="38" name="Picture 37">
          <a:extLst>
            <a:ext uri="{FF2B5EF4-FFF2-40B4-BE49-F238E27FC236}">
              <a16:creationId xmlns:a16="http://schemas.microsoft.com/office/drawing/2014/main" id="{9FA24075-4472-4E60-A9D9-7FC4E051BF7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95251"/>
          <a:ext cx="3524251" cy="13811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7620</xdr:colOff>
      <xdr:row>0</xdr:row>
      <xdr:rowOff>0</xdr:rowOff>
    </xdr:from>
    <xdr:ext cx="184731" cy="264560"/>
    <xdr:sp macro="" textlink="">
      <xdr:nvSpPr>
        <xdr:cNvPr id="21" name="TextBox 20">
          <a:extLst>
            <a:ext uri="{FF2B5EF4-FFF2-40B4-BE49-F238E27FC236}">
              <a16:creationId xmlns:a16="http://schemas.microsoft.com/office/drawing/2014/main" id="{ECA3AAF3-100F-41CA-A6E4-B08F3995279E}"/>
            </a:ext>
          </a:extLst>
        </xdr:cNvPr>
        <xdr:cNvSpPr txBox="1"/>
      </xdr:nvSpPr>
      <xdr:spPr>
        <a:xfrm>
          <a:off x="23622000" y="2110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IN" sz="1100"/>
        </a:p>
      </xdr:txBody>
    </xdr:sp>
    <xdr:clientData/>
  </xdr:oneCellAnchor>
  <xdr:oneCellAnchor>
    <xdr:from>
      <xdr:col>0</xdr:col>
      <xdr:colOff>0</xdr:colOff>
      <xdr:row>0</xdr:row>
      <xdr:rowOff>22859</xdr:rowOff>
    </xdr:from>
    <xdr:ext cx="4019550" cy="996315"/>
    <xdr:sp macro="" textlink="">
      <xdr:nvSpPr>
        <xdr:cNvPr id="30" name="TextBox 29">
          <a:extLst>
            <a:ext uri="{FF2B5EF4-FFF2-40B4-BE49-F238E27FC236}">
              <a16:creationId xmlns:a16="http://schemas.microsoft.com/office/drawing/2014/main" id="{44BEA4A8-6ACC-436B-AA9E-075C21B1D6CB}"/>
            </a:ext>
          </a:extLst>
        </xdr:cNvPr>
        <xdr:cNvSpPr txBox="1"/>
      </xdr:nvSpPr>
      <xdr:spPr>
        <a:xfrm>
          <a:off x="0" y="22859"/>
          <a:ext cx="4019550" cy="9963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IN" sz="1100"/>
        </a:p>
      </xdr:txBody>
    </xdr:sp>
    <xdr:clientData/>
  </xdr:oneCellAnchor>
  <xdr:twoCellAnchor>
    <xdr:from>
      <xdr:col>1</xdr:col>
      <xdr:colOff>312420</xdr:colOff>
      <xdr:row>107</xdr:row>
      <xdr:rowOff>0</xdr:rowOff>
    </xdr:from>
    <xdr:to>
      <xdr:col>2</xdr:col>
      <xdr:colOff>2552700</xdr:colOff>
      <xdr:row>118</xdr:row>
      <xdr:rowOff>0</xdr:rowOff>
    </xdr:to>
    <xdr:graphicFrame macro="">
      <xdr:nvGraphicFramePr>
        <xdr:cNvPr id="32" name="Chart 31">
          <a:extLst>
            <a:ext uri="{FF2B5EF4-FFF2-40B4-BE49-F238E27FC236}">
              <a16:creationId xmlns:a16="http://schemas.microsoft.com/office/drawing/2014/main" id="{2AFA3605-2137-4395-BB1A-AE741FCC74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7620</xdr:colOff>
      <xdr:row>104</xdr:row>
      <xdr:rowOff>0</xdr:rowOff>
    </xdr:from>
    <xdr:ext cx="184731" cy="264560"/>
    <xdr:sp macro="" textlink="">
      <xdr:nvSpPr>
        <xdr:cNvPr id="33" name="TextBox 32">
          <a:extLst>
            <a:ext uri="{FF2B5EF4-FFF2-40B4-BE49-F238E27FC236}">
              <a16:creationId xmlns:a16="http://schemas.microsoft.com/office/drawing/2014/main" id="{9CB96617-B592-442C-86D5-668DEC2DD208}"/>
            </a:ext>
          </a:extLst>
        </xdr:cNvPr>
        <xdr:cNvSpPr txBox="1"/>
      </xdr:nvSpPr>
      <xdr:spPr>
        <a:xfrm>
          <a:off x="1903095" y="2055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IN" sz="1100"/>
        </a:p>
      </xdr:txBody>
    </xdr:sp>
    <xdr:clientData/>
  </xdr:oneCellAnchor>
  <xdr:twoCellAnchor>
    <xdr:from>
      <xdr:col>1</xdr:col>
      <xdr:colOff>495306</xdr:colOff>
      <xdr:row>124</xdr:row>
      <xdr:rowOff>128688</xdr:rowOff>
    </xdr:from>
    <xdr:to>
      <xdr:col>2</xdr:col>
      <xdr:colOff>57150</xdr:colOff>
      <xdr:row>143</xdr:row>
      <xdr:rowOff>76199</xdr:rowOff>
    </xdr:to>
    <xdr:graphicFrame macro="">
      <xdr:nvGraphicFramePr>
        <xdr:cNvPr id="45" name="Chart 44">
          <a:extLst>
            <a:ext uri="{FF2B5EF4-FFF2-40B4-BE49-F238E27FC236}">
              <a16:creationId xmlns:a16="http://schemas.microsoft.com/office/drawing/2014/main" id="{AE3B2595-506D-4913-8868-562F06B1A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764380</xdr:colOff>
      <xdr:row>120</xdr:row>
      <xdr:rowOff>164306</xdr:rowOff>
    </xdr:from>
    <xdr:to>
      <xdr:col>8</xdr:col>
      <xdr:colOff>831056</xdr:colOff>
      <xdr:row>121</xdr:row>
      <xdr:rowOff>0</xdr:rowOff>
    </xdr:to>
    <xdr:graphicFrame macro="">
      <xdr:nvGraphicFramePr>
        <xdr:cNvPr id="47" name="Chart 46">
          <a:extLst>
            <a:ext uri="{FF2B5EF4-FFF2-40B4-BE49-F238E27FC236}">
              <a16:creationId xmlns:a16="http://schemas.microsoft.com/office/drawing/2014/main" id="{7414CB76-724F-4FCC-A949-915BC3F2D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261938</xdr:colOff>
      <xdr:row>171</xdr:row>
      <xdr:rowOff>101600</xdr:rowOff>
    </xdr:from>
    <xdr:to>
      <xdr:col>14</xdr:col>
      <xdr:colOff>1238250</xdr:colOff>
      <xdr:row>191</xdr:row>
      <xdr:rowOff>95249</xdr:rowOff>
    </xdr:to>
    <xdr:pic>
      <xdr:nvPicPr>
        <xdr:cNvPr id="49" name="Picture 48">
          <a:extLst>
            <a:ext uri="{FF2B5EF4-FFF2-40B4-BE49-F238E27FC236}">
              <a16:creationId xmlns:a16="http://schemas.microsoft.com/office/drawing/2014/main" id="{921468DE-8EA9-4AD0-B71A-307469FC39DE}"/>
            </a:ext>
          </a:extLst>
        </xdr:cNvPr>
        <xdr:cNvPicPr>
          <a:picLocks noChangeAspect="1"/>
        </xdr:cNvPicPr>
      </xdr:nvPicPr>
      <xdr:blipFill>
        <a:blip xmlns:r="http://schemas.openxmlformats.org/officeDocument/2006/relationships" r:embed="rId4"/>
        <a:stretch>
          <a:fillRect/>
        </a:stretch>
      </xdr:blipFill>
      <xdr:spPr>
        <a:xfrm>
          <a:off x="464344" y="38225413"/>
          <a:ext cx="11965781" cy="5232399"/>
        </a:xfrm>
        <a:prstGeom prst="rect">
          <a:avLst/>
        </a:prstGeom>
      </xdr:spPr>
    </xdr:pic>
    <xdr:clientData/>
  </xdr:twoCellAnchor>
  <xdr:twoCellAnchor editAs="oneCell">
    <xdr:from>
      <xdr:col>1</xdr:col>
      <xdr:colOff>476250</xdr:colOff>
      <xdr:row>161</xdr:row>
      <xdr:rowOff>0</xdr:rowOff>
    </xdr:from>
    <xdr:to>
      <xdr:col>14</xdr:col>
      <xdr:colOff>904875</xdr:colOff>
      <xdr:row>172</xdr:row>
      <xdr:rowOff>119062</xdr:rowOff>
    </xdr:to>
    <xdr:pic>
      <xdr:nvPicPr>
        <xdr:cNvPr id="50" name="Picture 49">
          <a:extLst>
            <a:ext uri="{FF2B5EF4-FFF2-40B4-BE49-F238E27FC236}">
              <a16:creationId xmlns:a16="http://schemas.microsoft.com/office/drawing/2014/main" id="{60A3F495-B889-4F88-A32D-E57295EC374B}"/>
            </a:ext>
          </a:extLst>
        </xdr:cNvPr>
        <xdr:cNvPicPr>
          <a:picLocks noChangeAspect="1"/>
        </xdr:cNvPicPr>
      </xdr:nvPicPr>
      <xdr:blipFill>
        <a:blip xmlns:r="http://schemas.openxmlformats.org/officeDocument/2006/relationships" r:embed="rId5"/>
        <a:stretch>
          <a:fillRect/>
        </a:stretch>
      </xdr:blipFill>
      <xdr:spPr>
        <a:xfrm>
          <a:off x="678656" y="35504438"/>
          <a:ext cx="11418094" cy="3000374"/>
        </a:xfrm>
        <a:prstGeom prst="rect">
          <a:avLst/>
        </a:prstGeom>
      </xdr:spPr>
    </xdr:pic>
    <xdr:clientData/>
  </xdr:twoCellAnchor>
  <xdr:twoCellAnchor>
    <xdr:from>
      <xdr:col>14</xdr:col>
      <xdr:colOff>1171575</xdr:colOff>
      <xdr:row>4</xdr:row>
      <xdr:rowOff>19050</xdr:rowOff>
    </xdr:from>
    <xdr:to>
      <xdr:col>15</xdr:col>
      <xdr:colOff>857250</xdr:colOff>
      <xdr:row>5</xdr:row>
      <xdr:rowOff>107950</xdr:rowOff>
    </xdr:to>
    <xdr:sp macro="" textlink="">
      <xdr:nvSpPr>
        <xdr:cNvPr id="51" name="Rectangle 50">
          <a:hlinkClick xmlns:r="http://schemas.openxmlformats.org/officeDocument/2006/relationships" r:id="rId6"/>
          <a:extLst>
            <a:ext uri="{FF2B5EF4-FFF2-40B4-BE49-F238E27FC236}">
              <a16:creationId xmlns:a16="http://schemas.microsoft.com/office/drawing/2014/main" id="{DF8CBC30-584D-45E9-BF8C-FAA899E6706C}"/>
            </a:ext>
          </a:extLst>
        </xdr:cNvPr>
        <xdr:cNvSpPr/>
      </xdr:nvSpPr>
      <xdr:spPr>
        <a:xfrm>
          <a:off x="12392025" y="781050"/>
          <a:ext cx="971550"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editAs="oneCell">
    <xdr:from>
      <xdr:col>0</xdr:col>
      <xdr:colOff>0</xdr:colOff>
      <xdr:row>0</xdr:row>
      <xdr:rowOff>119063</xdr:rowOff>
    </xdr:from>
    <xdr:to>
      <xdr:col>7</xdr:col>
      <xdr:colOff>366712</xdr:colOff>
      <xdr:row>4</xdr:row>
      <xdr:rowOff>178594</xdr:rowOff>
    </xdr:to>
    <xdr:pic>
      <xdr:nvPicPr>
        <xdr:cNvPr id="52" name="Picture 51" descr="File:Colgate-Palmolive logo.svg - Wikipedia">
          <a:extLst>
            <a:ext uri="{FF2B5EF4-FFF2-40B4-BE49-F238E27FC236}">
              <a16:creationId xmlns:a16="http://schemas.microsoft.com/office/drawing/2014/main" id="{4183ABC4-2913-4552-891C-9F35725DE02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19063"/>
          <a:ext cx="5653087" cy="821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35719</xdr:colOff>
      <xdr:row>8</xdr:row>
      <xdr:rowOff>23812</xdr:rowOff>
    </xdr:from>
    <xdr:to>
      <xdr:col>16</xdr:col>
      <xdr:colOff>11906</xdr:colOff>
      <xdr:row>9</xdr:row>
      <xdr:rowOff>142875</xdr:rowOff>
    </xdr:to>
    <xdr:sp macro="" textlink="">
      <xdr:nvSpPr>
        <xdr:cNvPr id="53" name="Arrow: Pentagon 52">
          <a:extLst>
            <a:ext uri="{FF2B5EF4-FFF2-40B4-BE49-F238E27FC236}">
              <a16:creationId xmlns:a16="http://schemas.microsoft.com/office/drawing/2014/main" id="{8763CFF4-3A48-4A88-A92F-7F2A8769AD03}"/>
            </a:ext>
          </a:extLst>
        </xdr:cNvPr>
        <xdr:cNvSpPr/>
      </xdr:nvSpPr>
      <xdr:spPr>
        <a:xfrm>
          <a:off x="35719" y="1547812"/>
          <a:ext cx="13339762" cy="309563"/>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0</xdr:colOff>
      <xdr:row>8</xdr:row>
      <xdr:rowOff>11906</xdr:rowOff>
    </xdr:from>
    <xdr:to>
      <xdr:col>9</xdr:col>
      <xdr:colOff>404813</xdr:colOff>
      <xdr:row>9</xdr:row>
      <xdr:rowOff>178594</xdr:rowOff>
    </xdr:to>
    <xdr:sp macro="" textlink="">
      <xdr:nvSpPr>
        <xdr:cNvPr id="54" name="TextBox 53">
          <a:extLst>
            <a:ext uri="{FF2B5EF4-FFF2-40B4-BE49-F238E27FC236}">
              <a16:creationId xmlns:a16="http://schemas.microsoft.com/office/drawing/2014/main" id="{398C4FB8-E624-476B-93D9-48CA8175461E}"/>
            </a:ext>
          </a:extLst>
        </xdr:cNvPr>
        <xdr:cNvSpPr txBox="1"/>
      </xdr:nvSpPr>
      <xdr:spPr>
        <a:xfrm>
          <a:off x="5286375" y="1535906"/>
          <a:ext cx="2100263" cy="357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Business Structure</a:t>
          </a:r>
        </a:p>
      </xdr:txBody>
    </xdr:sp>
    <xdr:clientData/>
  </xdr:twoCellAnchor>
  <xdr:twoCellAnchor>
    <xdr:from>
      <xdr:col>0</xdr:col>
      <xdr:colOff>0</xdr:colOff>
      <xdr:row>26</xdr:row>
      <xdr:rowOff>188119</xdr:rowOff>
    </xdr:from>
    <xdr:to>
      <xdr:col>15</xdr:col>
      <xdr:colOff>821531</xdr:colOff>
      <xdr:row>28</xdr:row>
      <xdr:rowOff>92869</xdr:rowOff>
    </xdr:to>
    <xdr:sp macro="" textlink="">
      <xdr:nvSpPr>
        <xdr:cNvPr id="55" name="Arrow: Pentagon 54">
          <a:extLst>
            <a:ext uri="{FF2B5EF4-FFF2-40B4-BE49-F238E27FC236}">
              <a16:creationId xmlns:a16="http://schemas.microsoft.com/office/drawing/2014/main" id="{48CFF7AB-17C4-47EB-9281-8FEC4D52558D}"/>
            </a:ext>
          </a:extLst>
        </xdr:cNvPr>
        <xdr:cNvSpPr/>
      </xdr:nvSpPr>
      <xdr:spPr>
        <a:xfrm>
          <a:off x="0" y="5141119"/>
          <a:ext cx="13337381" cy="3048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45244</xdr:colOff>
      <xdr:row>26</xdr:row>
      <xdr:rowOff>178594</xdr:rowOff>
    </xdr:from>
    <xdr:to>
      <xdr:col>9</xdr:col>
      <xdr:colOff>450057</xdr:colOff>
      <xdr:row>28</xdr:row>
      <xdr:rowOff>107156</xdr:rowOff>
    </xdr:to>
    <xdr:sp macro="" textlink="">
      <xdr:nvSpPr>
        <xdr:cNvPr id="56" name="TextBox 55">
          <a:extLst>
            <a:ext uri="{FF2B5EF4-FFF2-40B4-BE49-F238E27FC236}">
              <a16:creationId xmlns:a16="http://schemas.microsoft.com/office/drawing/2014/main" id="{6744CE8B-3886-4AE8-9170-0FF40FE9B799}"/>
            </a:ext>
          </a:extLst>
        </xdr:cNvPr>
        <xdr:cNvSpPr txBox="1"/>
      </xdr:nvSpPr>
      <xdr:spPr>
        <a:xfrm>
          <a:off x="5331619" y="5131594"/>
          <a:ext cx="2100263" cy="3286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Product</a:t>
          </a:r>
          <a:r>
            <a:rPr lang="en-IN" sz="1600" baseline="0">
              <a:solidFill>
                <a:schemeClr val="tx1"/>
              </a:solidFill>
            </a:rPr>
            <a:t> Range</a:t>
          </a:r>
          <a:endParaRPr lang="en-IN" sz="1600">
            <a:solidFill>
              <a:schemeClr val="tx1"/>
            </a:solidFill>
          </a:endParaRPr>
        </a:p>
      </xdr:txBody>
    </xdr:sp>
    <xdr:clientData/>
  </xdr:twoCellAnchor>
  <xdr:twoCellAnchor editAs="oneCell">
    <xdr:from>
      <xdr:col>4</xdr:col>
      <xdr:colOff>535780</xdr:colOff>
      <xdr:row>40</xdr:row>
      <xdr:rowOff>202405</xdr:rowOff>
    </xdr:from>
    <xdr:to>
      <xdr:col>15</xdr:col>
      <xdr:colOff>842962</xdr:colOff>
      <xdr:row>54</xdr:row>
      <xdr:rowOff>64294</xdr:rowOff>
    </xdr:to>
    <xdr:pic>
      <xdr:nvPicPr>
        <xdr:cNvPr id="57" name="Picture 56">
          <a:extLst>
            <a:ext uri="{FF2B5EF4-FFF2-40B4-BE49-F238E27FC236}">
              <a16:creationId xmlns:a16="http://schemas.microsoft.com/office/drawing/2014/main" id="{3ABFA8ED-62A8-4307-AB36-B4BB45F0D84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274218" y="7989093"/>
          <a:ext cx="10058400" cy="2695576"/>
        </a:xfrm>
        <a:prstGeom prst="rect">
          <a:avLst/>
        </a:prstGeom>
      </xdr:spPr>
    </xdr:pic>
    <xdr:clientData/>
  </xdr:twoCellAnchor>
  <xdr:twoCellAnchor editAs="oneCell">
    <xdr:from>
      <xdr:col>0</xdr:col>
      <xdr:colOff>0</xdr:colOff>
      <xdr:row>28</xdr:row>
      <xdr:rowOff>83344</xdr:rowOff>
    </xdr:from>
    <xdr:to>
      <xdr:col>12</xdr:col>
      <xdr:colOff>557212</xdr:colOff>
      <xdr:row>41</xdr:row>
      <xdr:rowOff>42861</xdr:rowOff>
    </xdr:to>
    <xdr:pic>
      <xdr:nvPicPr>
        <xdr:cNvPr id="58" name="Picture 57">
          <a:extLst>
            <a:ext uri="{FF2B5EF4-FFF2-40B4-BE49-F238E27FC236}">
              <a16:creationId xmlns:a16="http://schemas.microsoft.com/office/drawing/2014/main" id="{8C6CA312-D2CC-4002-8716-037F2FCAB7C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5441157"/>
          <a:ext cx="10058400" cy="2590798"/>
        </a:xfrm>
        <a:prstGeom prst="rect">
          <a:avLst/>
        </a:prstGeom>
      </xdr:spPr>
    </xdr:pic>
    <xdr:clientData/>
  </xdr:twoCellAnchor>
  <xdr:twoCellAnchor editAs="oneCell">
    <xdr:from>
      <xdr:col>1</xdr:col>
      <xdr:colOff>23813</xdr:colOff>
      <xdr:row>53</xdr:row>
      <xdr:rowOff>0</xdr:rowOff>
    </xdr:from>
    <xdr:to>
      <xdr:col>12</xdr:col>
      <xdr:colOff>783431</xdr:colOff>
      <xdr:row>65</xdr:row>
      <xdr:rowOff>173831</xdr:rowOff>
    </xdr:to>
    <xdr:pic>
      <xdr:nvPicPr>
        <xdr:cNvPr id="59" name="Picture 58">
          <a:extLst>
            <a:ext uri="{FF2B5EF4-FFF2-40B4-BE49-F238E27FC236}">
              <a16:creationId xmlns:a16="http://schemas.microsoft.com/office/drawing/2014/main" id="{8EF4F7D7-C412-4F56-95AF-BBE11C433F1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23838" y="10353675"/>
          <a:ext cx="10084593" cy="2459831"/>
        </a:xfrm>
        <a:prstGeom prst="rect">
          <a:avLst/>
        </a:prstGeom>
      </xdr:spPr>
    </xdr:pic>
    <xdr:clientData/>
  </xdr:twoCellAnchor>
  <xdr:twoCellAnchor editAs="oneCell">
    <xdr:from>
      <xdr:col>4</xdr:col>
      <xdr:colOff>547688</xdr:colOff>
      <xdr:row>65</xdr:row>
      <xdr:rowOff>59531</xdr:rowOff>
    </xdr:from>
    <xdr:to>
      <xdr:col>16</xdr:col>
      <xdr:colOff>0</xdr:colOff>
      <xdr:row>78</xdr:row>
      <xdr:rowOff>102394</xdr:rowOff>
    </xdr:to>
    <xdr:pic>
      <xdr:nvPicPr>
        <xdr:cNvPr id="60" name="Picture 59">
          <a:extLst>
            <a:ext uri="{FF2B5EF4-FFF2-40B4-BE49-F238E27FC236}">
              <a16:creationId xmlns:a16="http://schemas.microsoft.com/office/drawing/2014/main" id="{98E95619-B343-4E49-B5EA-FE6A56C7ADC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3290888" y="12813506"/>
          <a:ext cx="10082213" cy="2519363"/>
        </a:xfrm>
        <a:prstGeom prst="rect">
          <a:avLst/>
        </a:prstGeom>
      </xdr:spPr>
    </xdr:pic>
    <xdr:clientData/>
  </xdr:twoCellAnchor>
  <xdr:twoCellAnchor>
    <xdr:from>
      <xdr:col>0</xdr:col>
      <xdr:colOff>0</xdr:colOff>
      <xdr:row>105</xdr:row>
      <xdr:rowOff>0</xdr:rowOff>
    </xdr:from>
    <xdr:to>
      <xdr:col>15</xdr:col>
      <xdr:colOff>821531</xdr:colOff>
      <xdr:row>106</xdr:row>
      <xdr:rowOff>23813</xdr:rowOff>
    </xdr:to>
    <xdr:sp macro="" textlink="">
      <xdr:nvSpPr>
        <xdr:cNvPr id="62" name="Arrow: Pentagon 61">
          <a:extLst>
            <a:ext uri="{FF2B5EF4-FFF2-40B4-BE49-F238E27FC236}">
              <a16:creationId xmlns:a16="http://schemas.microsoft.com/office/drawing/2014/main" id="{D760BF4C-2ED4-4DC2-A644-56CB1DEBEAEC}"/>
            </a:ext>
          </a:extLst>
        </xdr:cNvPr>
        <xdr:cNvSpPr/>
      </xdr:nvSpPr>
      <xdr:spPr>
        <a:xfrm>
          <a:off x="0" y="20745450"/>
          <a:ext cx="13337381" cy="309563"/>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11906</xdr:colOff>
      <xdr:row>104</xdr:row>
      <xdr:rowOff>178593</xdr:rowOff>
    </xdr:from>
    <xdr:to>
      <xdr:col>9</xdr:col>
      <xdr:colOff>416719</xdr:colOff>
      <xdr:row>106</xdr:row>
      <xdr:rowOff>59531</xdr:rowOff>
    </xdr:to>
    <xdr:sp macro="" textlink="">
      <xdr:nvSpPr>
        <xdr:cNvPr id="63" name="TextBox 62">
          <a:extLst>
            <a:ext uri="{FF2B5EF4-FFF2-40B4-BE49-F238E27FC236}">
              <a16:creationId xmlns:a16="http://schemas.microsoft.com/office/drawing/2014/main" id="{1A98F66B-8B9A-49A9-82E0-B59862F8BAE7}"/>
            </a:ext>
          </a:extLst>
        </xdr:cNvPr>
        <xdr:cNvSpPr txBox="1"/>
      </xdr:nvSpPr>
      <xdr:spPr>
        <a:xfrm>
          <a:off x="5298281" y="20733543"/>
          <a:ext cx="2100263" cy="357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Revenue</a:t>
          </a:r>
          <a:r>
            <a:rPr lang="en-IN" sz="1600" baseline="0">
              <a:solidFill>
                <a:schemeClr val="tx1"/>
              </a:solidFill>
            </a:rPr>
            <a:t> Analysis</a:t>
          </a:r>
          <a:endParaRPr lang="en-IN" sz="1600">
            <a:solidFill>
              <a:schemeClr val="tx1"/>
            </a:solidFill>
          </a:endParaRPr>
        </a:p>
      </xdr:txBody>
    </xdr:sp>
    <xdr:clientData/>
  </xdr:twoCellAnchor>
  <xdr:twoCellAnchor>
    <xdr:from>
      <xdr:col>0</xdr:col>
      <xdr:colOff>11906</xdr:colOff>
      <xdr:row>121</xdr:row>
      <xdr:rowOff>130970</xdr:rowOff>
    </xdr:from>
    <xdr:to>
      <xdr:col>15</xdr:col>
      <xdr:colOff>833437</xdr:colOff>
      <xdr:row>123</xdr:row>
      <xdr:rowOff>47626</xdr:rowOff>
    </xdr:to>
    <xdr:sp macro="" textlink="">
      <xdr:nvSpPr>
        <xdr:cNvPr id="64" name="Arrow: Pentagon 63">
          <a:extLst>
            <a:ext uri="{FF2B5EF4-FFF2-40B4-BE49-F238E27FC236}">
              <a16:creationId xmlns:a16="http://schemas.microsoft.com/office/drawing/2014/main" id="{6218A635-B447-427D-8160-93B531B5E3CC}"/>
            </a:ext>
          </a:extLst>
        </xdr:cNvPr>
        <xdr:cNvSpPr/>
      </xdr:nvSpPr>
      <xdr:spPr>
        <a:xfrm>
          <a:off x="11906" y="24162545"/>
          <a:ext cx="13337381" cy="307181"/>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690563</xdr:colOff>
      <xdr:row>121</xdr:row>
      <xdr:rowOff>130969</xdr:rowOff>
    </xdr:from>
    <xdr:to>
      <xdr:col>9</xdr:col>
      <xdr:colOff>762000</xdr:colOff>
      <xdr:row>123</xdr:row>
      <xdr:rowOff>59531</xdr:rowOff>
    </xdr:to>
    <xdr:sp macro="" textlink="">
      <xdr:nvSpPr>
        <xdr:cNvPr id="65" name="TextBox 64">
          <a:extLst>
            <a:ext uri="{FF2B5EF4-FFF2-40B4-BE49-F238E27FC236}">
              <a16:creationId xmlns:a16="http://schemas.microsoft.com/office/drawing/2014/main" id="{6A064773-9770-42E4-AB21-9C07C72B5041}"/>
            </a:ext>
          </a:extLst>
        </xdr:cNvPr>
        <xdr:cNvSpPr txBox="1"/>
      </xdr:nvSpPr>
      <xdr:spPr>
        <a:xfrm>
          <a:off x="5129213" y="24162544"/>
          <a:ext cx="2614612" cy="3190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Operating</a:t>
          </a:r>
          <a:r>
            <a:rPr lang="en-IN" sz="1600" baseline="0">
              <a:solidFill>
                <a:schemeClr val="tx1"/>
              </a:solidFill>
            </a:rPr>
            <a:t> Profit Margins</a:t>
          </a:r>
          <a:endParaRPr lang="en-IN" sz="1600">
            <a:solidFill>
              <a:schemeClr val="tx1"/>
            </a:solidFill>
          </a:endParaRPr>
        </a:p>
      </xdr:txBody>
    </xdr:sp>
    <xdr:clientData/>
  </xdr:twoCellAnchor>
  <xdr:twoCellAnchor>
    <xdr:from>
      <xdr:col>0</xdr:col>
      <xdr:colOff>1</xdr:colOff>
      <xdr:row>146</xdr:row>
      <xdr:rowOff>35719</xdr:rowOff>
    </xdr:from>
    <xdr:to>
      <xdr:col>15</xdr:col>
      <xdr:colOff>821532</xdr:colOff>
      <xdr:row>147</xdr:row>
      <xdr:rowOff>154782</xdr:rowOff>
    </xdr:to>
    <xdr:sp macro="" textlink="">
      <xdr:nvSpPr>
        <xdr:cNvPr id="66" name="Arrow: Pentagon 65">
          <a:extLst>
            <a:ext uri="{FF2B5EF4-FFF2-40B4-BE49-F238E27FC236}">
              <a16:creationId xmlns:a16="http://schemas.microsoft.com/office/drawing/2014/main" id="{D301D218-B839-4BC1-8A27-2F09A036A212}"/>
            </a:ext>
          </a:extLst>
        </xdr:cNvPr>
        <xdr:cNvSpPr/>
      </xdr:nvSpPr>
      <xdr:spPr>
        <a:xfrm>
          <a:off x="1" y="29248894"/>
          <a:ext cx="13337381" cy="309563"/>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309562</xdr:colOff>
      <xdr:row>146</xdr:row>
      <xdr:rowOff>23812</xdr:rowOff>
    </xdr:from>
    <xdr:to>
      <xdr:col>11</xdr:col>
      <xdr:colOff>83343</xdr:colOff>
      <xdr:row>147</xdr:row>
      <xdr:rowOff>154781</xdr:rowOff>
    </xdr:to>
    <xdr:sp macro="" textlink="">
      <xdr:nvSpPr>
        <xdr:cNvPr id="67" name="TextBox 66">
          <a:extLst>
            <a:ext uri="{FF2B5EF4-FFF2-40B4-BE49-F238E27FC236}">
              <a16:creationId xmlns:a16="http://schemas.microsoft.com/office/drawing/2014/main" id="{99FCDC9C-3A30-4E1E-BB25-73CA35526BF4}"/>
            </a:ext>
          </a:extLst>
        </xdr:cNvPr>
        <xdr:cNvSpPr txBox="1"/>
      </xdr:nvSpPr>
      <xdr:spPr>
        <a:xfrm>
          <a:off x="4748212" y="29236987"/>
          <a:ext cx="4012406" cy="321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Key</a:t>
          </a:r>
          <a:r>
            <a:rPr lang="en-IN" sz="1600" baseline="0">
              <a:solidFill>
                <a:schemeClr val="tx1"/>
              </a:solidFill>
            </a:rPr>
            <a:t> Initiatives and FY 2025 Growth Strategy</a:t>
          </a:r>
          <a:endParaRPr lang="en-IN" sz="1600">
            <a:solidFill>
              <a:schemeClr val="tx1"/>
            </a:solidFill>
          </a:endParaRPr>
        </a:p>
      </xdr:txBody>
    </xdr:sp>
    <xdr:clientData/>
  </xdr:twoCellAnchor>
  <xdr:twoCellAnchor>
    <xdr:from>
      <xdr:col>0</xdr:col>
      <xdr:colOff>0</xdr:colOff>
      <xdr:row>160</xdr:row>
      <xdr:rowOff>21431</xdr:rowOff>
    </xdr:from>
    <xdr:to>
      <xdr:col>15</xdr:col>
      <xdr:colOff>821531</xdr:colOff>
      <xdr:row>160</xdr:row>
      <xdr:rowOff>330994</xdr:rowOff>
    </xdr:to>
    <xdr:sp macro="" textlink="">
      <xdr:nvSpPr>
        <xdr:cNvPr id="68" name="Arrow: Pentagon 67">
          <a:extLst>
            <a:ext uri="{FF2B5EF4-FFF2-40B4-BE49-F238E27FC236}">
              <a16:creationId xmlns:a16="http://schemas.microsoft.com/office/drawing/2014/main" id="{728E7CBA-FFEA-4631-80A4-E83F46A1E7F7}"/>
            </a:ext>
          </a:extLst>
        </xdr:cNvPr>
        <xdr:cNvSpPr/>
      </xdr:nvSpPr>
      <xdr:spPr>
        <a:xfrm>
          <a:off x="0" y="35035331"/>
          <a:ext cx="13337381" cy="309563"/>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190500</xdr:colOff>
      <xdr:row>160</xdr:row>
      <xdr:rowOff>9525</xdr:rowOff>
    </xdr:from>
    <xdr:to>
      <xdr:col>10</xdr:col>
      <xdr:colOff>321469</xdr:colOff>
      <xdr:row>160</xdr:row>
      <xdr:rowOff>330994</xdr:rowOff>
    </xdr:to>
    <xdr:sp macro="" textlink="">
      <xdr:nvSpPr>
        <xdr:cNvPr id="69" name="TextBox 68">
          <a:extLst>
            <a:ext uri="{FF2B5EF4-FFF2-40B4-BE49-F238E27FC236}">
              <a16:creationId xmlns:a16="http://schemas.microsoft.com/office/drawing/2014/main" id="{8CFE2874-ACEE-463E-A81C-2F4E25C93C86}"/>
            </a:ext>
          </a:extLst>
        </xdr:cNvPr>
        <xdr:cNvSpPr txBox="1"/>
      </xdr:nvSpPr>
      <xdr:spPr>
        <a:xfrm>
          <a:off x="5476875" y="35023425"/>
          <a:ext cx="2674144" cy="321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a:t>
          </a:r>
          <a:r>
            <a:rPr lang="en-IN" sz="1600" baseline="0">
              <a:solidFill>
                <a:schemeClr val="tx1"/>
              </a:solidFill>
            </a:rPr>
            <a:t>FY 2025 ESG Strategy</a:t>
          </a:r>
          <a:endParaRPr lang="en-IN" sz="1600">
            <a:solidFill>
              <a:schemeClr val="tx1"/>
            </a:solidFill>
          </a:endParaRPr>
        </a:p>
      </xdr:txBody>
    </xdr:sp>
    <xdr:clientData/>
  </xdr:twoCellAnchor>
  <xdr:twoCellAnchor>
    <xdr:from>
      <xdr:col>0</xdr:col>
      <xdr:colOff>0</xdr:colOff>
      <xdr:row>191</xdr:row>
      <xdr:rowOff>107155</xdr:rowOff>
    </xdr:from>
    <xdr:to>
      <xdr:col>15</xdr:col>
      <xdr:colOff>821531</xdr:colOff>
      <xdr:row>192</xdr:row>
      <xdr:rowOff>154780</xdr:rowOff>
    </xdr:to>
    <xdr:sp macro="" textlink="">
      <xdr:nvSpPr>
        <xdr:cNvPr id="70" name="Arrow: Pentagon 69">
          <a:extLst>
            <a:ext uri="{FF2B5EF4-FFF2-40B4-BE49-F238E27FC236}">
              <a16:creationId xmlns:a16="http://schemas.microsoft.com/office/drawing/2014/main" id="{20D27E80-DC33-4781-B631-9758B4B6489F}"/>
            </a:ext>
          </a:extLst>
        </xdr:cNvPr>
        <xdr:cNvSpPr/>
      </xdr:nvSpPr>
      <xdr:spPr>
        <a:xfrm>
          <a:off x="0" y="43512580"/>
          <a:ext cx="13337381" cy="31432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357187</xdr:colOff>
      <xdr:row>191</xdr:row>
      <xdr:rowOff>107155</xdr:rowOff>
    </xdr:from>
    <xdr:to>
      <xdr:col>8</xdr:col>
      <xdr:colOff>726281</xdr:colOff>
      <xdr:row>192</xdr:row>
      <xdr:rowOff>190498</xdr:rowOff>
    </xdr:to>
    <xdr:sp macro="" textlink="">
      <xdr:nvSpPr>
        <xdr:cNvPr id="71" name="TextBox 70">
          <a:extLst>
            <a:ext uri="{FF2B5EF4-FFF2-40B4-BE49-F238E27FC236}">
              <a16:creationId xmlns:a16="http://schemas.microsoft.com/office/drawing/2014/main" id="{03C1E244-5516-43B7-BE59-A6A51B255E18}"/>
            </a:ext>
          </a:extLst>
        </xdr:cNvPr>
        <xdr:cNvSpPr txBox="1"/>
      </xdr:nvSpPr>
      <xdr:spPr>
        <a:xfrm>
          <a:off x="5643562" y="43512580"/>
          <a:ext cx="1216819" cy="3500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Risks</a:t>
          </a:r>
        </a:p>
      </xdr:txBody>
    </xdr:sp>
    <xdr:clientData/>
  </xdr:twoCellAnchor>
  <xdr:twoCellAnchor>
    <xdr:from>
      <xdr:col>0</xdr:col>
      <xdr:colOff>0</xdr:colOff>
      <xdr:row>197</xdr:row>
      <xdr:rowOff>176211</xdr:rowOff>
    </xdr:from>
    <xdr:to>
      <xdr:col>15</xdr:col>
      <xdr:colOff>821531</xdr:colOff>
      <xdr:row>199</xdr:row>
      <xdr:rowOff>21430</xdr:rowOff>
    </xdr:to>
    <xdr:sp macro="" textlink="">
      <xdr:nvSpPr>
        <xdr:cNvPr id="72" name="Arrow: Pentagon 71">
          <a:extLst>
            <a:ext uri="{FF2B5EF4-FFF2-40B4-BE49-F238E27FC236}">
              <a16:creationId xmlns:a16="http://schemas.microsoft.com/office/drawing/2014/main" id="{CCF846BA-B337-47CF-9228-5D3519785CB5}"/>
            </a:ext>
          </a:extLst>
        </xdr:cNvPr>
        <xdr:cNvSpPr/>
      </xdr:nvSpPr>
      <xdr:spPr>
        <a:xfrm>
          <a:off x="0" y="45610461"/>
          <a:ext cx="13337381" cy="311944"/>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7</xdr:col>
      <xdr:colOff>202406</xdr:colOff>
      <xdr:row>197</xdr:row>
      <xdr:rowOff>166687</xdr:rowOff>
    </xdr:from>
    <xdr:to>
      <xdr:col>9</xdr:col>
      <xdr:colOff>476250</xdr:colOff>
      <xdr:row>199</xdr:row>
      <xdr:rowOff>21429</xdr:rowOff>
    </xdr:to>
    <xdr:sp macro="" textlink="">
      <xdr:nvSpPr>
        <xdr:cNvPr id="73" name="TextBox 72">
          <a:extLst>
            <a:ext uri="{FF2B5EF4-FFF2-40B4-BE49-F238E27FC236}">
              <a16:creationId xmlns:a16="http://schemas.microsoft.com/office/drawing/2014/main" id="{206D3DD7-00BE-40BC-8FBA-00D0B768B4B3}"/>
            </a:ext>
          </a:extLst>
        </xdr:cNvPr>
        <xdr:cNvSpPr txBox="1"/>
      </xdr:nvSpPr>
      <xdr:spPr>
        <a:xfrm>
          <a:off x="5488781" y="45600937"/>
          <a:ext cx="1969294" cy="3214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600">
              <a:solidFill>
                <a:schemeClr val="tx1"/>
              </a:solidFill>
            </a:rPr>
            <a:t>     Valuation</a:t>
          </a:r>
          <a:r>
            <a:rPr lang="en-IN" sz="1600" baseline="0">
              <a:solidFill>
                <a:schemeClr val="tx1"/>
              </a:solidFill>
            </a:rPr>
            <a:t> Metrics</a:t>
          </a:r>
          <a:endParaRPr lang="en-IN" sz="1600">
            <a:solidFill>
              <a:schemeClr val="tx1"/>
            </a:solidFill>
          </a:endParaRPr>
        </a:p>
      </xdr:txBody>
    </xdr:sp>
    <xdr:clientData/>
  </xdr:twoCellAnchor>
  <xdr:twoCellAnchor>
    <xdr:from>
      <xdr:col>0</xdr:col>
      <xdr:colOff>166687</xdr:colOff>
      <xdr:row>219</xdr:row>
      <xdr:rowOff>166688</xdr:rowOff>
    </xdr:from>
    <xdr:to>
      <xdr:col>8</xdr:col>
      <xdr:colOff>11905</xdr:colOff>
      <xdr:row>234</xdr:row>
      <xdr:rowOff>190499</xdr:rowOff>
    </xdr:to>
    <xdr:graphicFrame macro="">
      <xdr:nvGraphicFramePr>
        <xdr:cNvPr id="4" name="Chart 3">
          <a:extLst>
            <a:ext uri="{FF2B5EF4-FFF2-40B4-BE49-F238E27FC236}">
              <a16:creationId xmlns:a16="http://schemas.microsoft.com/office/drawing/2014/main" id="{AF1EE9E4-5B92-47CE-8F40-C437710A34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95250</xdr:colOff>
      <xdr:row>106</xdr:row>
      <xdr:rowOff>140493</xdr:rowOff>
    </xdr:from>
    <xdr:to>
      <xdr:col>8</xdr:col>
      <xdr:colOff>-1</xdr:colOff>
      <xdr:row>119</xdr:row>
      <xdr:rowOff>130969</xdr:rowOff>
    </xdr:to>
    <xdr:graphicFrame macro="">
      <xdr:nvGraphicFramePr>
        <xdr:cNvPr id="2" name="Chart 1">
          <a:extLst>
            <a:ext uri="{FF2B5EF4-FFF2-40B4-BE49-F238E27FC236}">
              <a16:creationId xmlns:a16="http://schemas.microsoft.com/office/drawing/2014/main" id="{9ACDC169-B6A9-48AD-B77A-063F94EFA9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184547</xdr:colOff>
      <xdr:row>123</xdr:row>
      <xdr:rowOff>188117</xdr:rowOff>
    </xdr:from>
    <xdr:to>
      <xdr:col>8</xdr:col>
      <xdr:colOff>23812</xdr:colOff>
      <xdr:row>145</xdr:row>
      <xdr:rowOff>23813</xdr:rowOff>
    </xdr:to>
    <xdr:graphicFrame macro="">
      <xdr:nvGraphicFramePr>
        <xdr:cNvPr id="5" name="Chart 4">
          <a:extLst>
            <a:ext uri="{FF2B5EF4-FFF2-40B4-BE49-F238E27FC236}">
              <a16:creationId xmlns:a16="http://schemas.microsoft.com/office/drawing/2014/main" id="{C4A28E72-84FD-41D2-BEA6-0F35F5C09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119063</xdr:colOff>
      <xdr:row>79</xdr:row>
      <xdr:rowOff>178594</xdr:rowOff>
    </xdr:from>
    <xdr:to>
      <xdr:col>9</xdr:col>
      <xdr:colOff>547688</xdr:colOff>
      <xdr:row>103</xdr:row>
      <xdr:rowOff>71437</xdr:rowOff>
    </xdr:to>
    <xdr:graphicFrame macro="">
      <xdr:nvGraphicFramePr>
        <xdr:cNvPr id="8" name="Chart 7">
          <a:extLst>
            <a:ext uri="{FF2B5EF4-FFF2-40B4-BE49-F238E27FC236}">
              <a16:creationId xmlns:a16="http://schemas.microsoft.com/office/drawing/2014/main" id="{DED575B0-118C-45F6-B0C2-CA948345E5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654844</xdr:colOff>
      <xdr:row>80</xdr:row>
      <xdr:rowOff>-1</xdr:rowOff>
    </xdr:from>
    <xdr:to>
      <xdr:col>15</xdr:col>
      <xdr:colOff>642938</xdr:colOff>
      <xdr:row>103</xdr:row>
      <xdr:rowOff>83344</xdr:rowOff>
    </xdr:to>
    <xdr:sp macro="" textlink="">
      <xdr:nvSpPr>
        <xdr:cNvPr id="9" name="TextBox 8">
          <a:extLst>
            <a:ext uri="{FF2B5EF4-FFF2-40B4-BE49-F238E27FC236}">
              <a16:creationId xmlns:a16="http://schemas.microsoft.com/office/drawing/2014/main" id="{6FB6C31D-CC33-4FE8-8D05-C948E85D94CE}"/>
            </a:ext>
          </a:extLst>
        </xdr:cNvPr>
        <xdr:cNvSpPr txBox="1"/>
      </xdr:nvSpPr>
      <xdr:spPr>
        <a:xfrm>
          <a:off x="7620000" y="15882937"/>
          <a:ext cx="5512594" cy="4738688"/>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a:t>Approximately 70% of the Company’s Net sales are generated from markets outside the U.S., with approximately 45% of the Company’s Net sales coming from emerging markets (which consist of Latin America, Asia (excluding Japan), Africa/Eurasia and Central Europe). This geographic diversity helps to balance the Company’s  business risk exposure in any one country or part of the world.</a:t>
          </a:r>
        </a:p>
        <a:p>
          <a:endParaRPr lang="en-IN" sz="1100"/>
        </a:p>
        <a:p>
          <a:r>
            <a:rPr lang="en-IN" sz="1100"/>
            <a:t>In these reportable operating segments: (1)North America,(2) Latin America, (3)Europe,(4) Asia Pacific and (5) Africa/Eurasia ,the</a:t>
          </a:r>
          <a:r>
            <a:rPr lang="en-IN" sz="1100" baseline="0"/>
            <a:t> Company </a:t>
          </a:r>
          <a:r>
            <a:rPr lang="en-IN" sz="1100"/>
            <a:t>sells to a variety of traditional and e-commerce retailers, wholesalers and distributors.</a:t>
          </a:r>
        </a:p>
        <a:p>
          <a:endParaRPr lang="en-IN" sz="1100"/>
        </a:p>
        <a:p>
          <a:endParaRPr lang="en-IN" sz="1100"/>
        </a:p>
      </xdr:txBody>
    </xdr:sp>
    <xdr:clientData/>
  </xdr:twoCellAnchor>
  <xdr:twoCellAnchor>
    <xdr:from>
      <xdr:col>0</xdr:col>
      <xdr:colOff>0</xdr:colOff>
      <xdr:row>30</xdr:row>
      <xdr:rowOff>178593</xdr:rowOff>
    </xdr:from>
    <xdr:to>
      <xdr:col>5</xdr:col>
      <xdr:colOff>404813</xdr:colOff>
      <xdr:row>37</xdr:row>
      <xdr:rowOff>59530</xdr:rowOff>
    </xdr:to>
    <xdr:sp macro="" textlink="">
      <xdr:nvSpPr>
        <xdr:cNvPr id="3" name="TextBox 2">
          <a:extLst>
            <a:ext uri="{FF2B5EF4-FFF2-40B4-BE49-F238E27FC236}">
              <a16:creationId xmlns:a16="http://schemas.microsoft.com/office/drawing/2014/main" id="{15C9677D-AA40-4E5E-8EA8-94C6D4863DD8}"/>
            </a:ext>
          </a:extLst>
        </xdr:cNvPr>
        <xdr:cNvSpPr txBox="1"/>
      </xdr:nvSpPr>
      <xdr:spPr>
        <a:xfrm>
          <a:off x="0" y="5941218"/>
          <a:ext cx="3988594" cy="129778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aseline="0"/>
            <a:t>Going by its core belief  that "Smile is language of happiness", Colgate offers </a:t>
          </a:r>
          <a:r>
            <a:rPr lang="en-IN" sz="1100"/>
            <a:t>Toothpastes, Toothbrushes,</a:t>
          </a:r>
          <a:r>
            <a:rPr lang="en-IN" sz="1100" baseline="0"/>
            <a:t> Mouth Wash as well as expert dental health information, with a mission to "brighten smiles all over the World".</a:t>
          </a:r>
          <a:endParaRPr lang="en-IN" sz="1100"/>
        </a:p>
      </xdr:txBody>
    </xdr:sp>
    <xdr:clientData/>
  </xdr:twoCellAnchor>
  <xdr:twoCellAnchor>
    <xdr:from>
      <xdr:col>4</xdr:col>
      <xdr:colOff>95249</xdr:colOff>
      <xdr:row>43</xdr:row>
      <xdr:rowOff>166688</xdr:rowOff>
    </xdr:from>
    <xdr:to>
      <xdr:col>9</xdr:col>
      <xdr:colOff>369094</xdr:colOff>
      <xdr:row>50</xdr:row>
      <xdr:rowOff>23813</xdr:rowOff>
    </xdr:to>
    <xdr:sp macro="" textlink="">
      <xdr:nvSpPr>
        <xdr:cNvPr id="7" name="TextBox 6">
          <a:extLst>
            <a:ext uri="{FF2B5EF4-FFF2-40B4-BE49-F238E27FC236}">
              <a16:creationId xmlns:a16="http://schemas.microsoft.com/office/drawing/2014/main" id="{81EFF5A4-6F27-4C79-ACD6-934B1DA5FDAB}"/>
            </a:ext>
          </a:extLst>
        </xdr:cNvPr>
        <xdr:cNvSpPr txBox="1"/>
      </xdr:nvSpPr>
      <xdr:spPr>
        <a:xfrm>
          <a:off x="2833687" y="8560594"/>
          <a:ext cx="4500563" cy="1273969"/>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a:t>Colgate offers leading brands of soap, shampoo, shower gel and deoderant,</a:t>
          </a:r>
          <a:r>
            <a:rPr lang="en-IN" sz="1100" baseline="0"/>
            <a:t> as also a variety of products that promote healthy skin. which improves people's overall health and happiness.</a:t>
          </a:r>
          <a:endParaRPr lang="en-IN" sz="1100"/>
        </a:p>
      </xdr:txBody>
    </xdr:sp>
    <xdr:clientData/>
  </xdr:twoCellAnchor>
  <xdr:twoCellAnchor>
    <xdr:from>
      <xdr:col>1</xdr:col>
      <xdr:colOff>107156</xdr:colOff>
      <xdr:row>55</xdr:row>
      <xdr:rowOff>35719</xdr:rowOff>
    </xdr:from>
    <xdr:to>
      <xdr:col>5</xdr:col>
      <xdr:colOff>690563</xdr:colOff>
      <xdr:row>61</xdr:row>
      <xdr:rowOff>47625</xdr:rowOff>
    </xdr:to>
    <xdr:sp macro="" textlink="">
      <xdr:nvSpPr>
        <xdr:cNvPr id="10" name="TextBox 9">
          <a:extLst>
            <a:ext uri="{FF2B5EF4-FFF2-40B4-BE49-F238E27FC236}">
              <a16:creationId xmlns:a16="http://schemas.microsoft.com/office/drawing/2014/main" id="{1C033B2E-F6DE-4E9D-8A36-45AD961ECA37}"/>
            </a:ext>
          </a:extLst>
        </xdr:cNvPr>
        <xdr:cNvSpPr txBox="1"/>
      </xdr:nvSpPr>
      <xdr:spPr>
        <a:xfrm>
          <a:off x="309562" y="10858500"/>
          <a:ext cx="3964782" cy="122634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a:t>Detergents,</a:t>
          </a:r>
          <a:r>
            <a:rPr lang="en-IN" sz="1100" baseline="0"/>
            <a:t> Dish wash soaps, floor cleaners and Surface cleaners are among Colgate's Home Care  solutions, to help people everywhere surround themselves with clean, fresh clothes , dishes, floors and surfaces of all kinds.</a:t>
          </a:r>
          <a:endParaRPr lang="en-IN" sz="1100"/>
        </a:p>
      </xdr:txBody>
    </xdr:sp>
    <xdr:clientData/>
  </xdr:twoCellAnchor>
  <xdr:twoCellAnchor>
    <xdr:from>
      <xdr:col>4</xdr:col>
      <xdr:colOff>285750</xdr:colOff>
      <xdr:row>67</xdr:row>
      <xdr:rowOff>142875</xdr:rowOff>
    </xdr:from>
    <xdr:to>
      <xdr:col>9</xdr:col>
      <xdr:colOff>404813</xdr:colOff>
      <xdr:row>75</xdr:row>
      <xdr:rowOff>23812</xdr:rowOff>
    </xdr:to>
    <xdr:sp macro="" textlink="">
      <xdr:nvSpPr>
        <xdr:cNvPr id="11" name="TextBox 10">
          <a:extLst>
            <a:ext uri="{FF2B5EF4-FFF2-40B4-BE49-F238E27FC236}">
              <a16:creationId xmlns:a16="http://schemas.microsoft.com/office/drawing/2014/main" id="{987A04A3-A83B-4E10-B83C-30D931F5BAAD}"/>
            </a:ext>
          </a:extLst>
        </xdr:cNvPr>
        <xdr:cNvSpPr txBox="1"/>
      </xdr:nvSpPr>
      <xdr:spPr>
        <a:xfrm>
          <a:off x="3024188" y="13394531"/>
          <a:ext cx="4345781" cy="1500187"/>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a:t>Colgate produces</a:t>
          </a:r>
          <a:r>
            <a:rPr lang="en-IN" sz="1100" baseline="0"/>
            <a:t> high quality ingredients for optimal pet nutrition,striving to care for furry members of families around the world to live longer and healthy lives.</a:t>
          </a:r>
          <a:endParaRPr lang="en-IN"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976812" cy="1059656"/>
    <xdr:sp macro="" textlink="">
      <xdr:nvSpPr>
        <xdr:cNvPr id="6" name="TextBox 5">
          <a:extLst>
            <a:ext uri="{FF2B5EF4-FFF2-40B4-BE49-F238E27FC236}">
              <a16:creationId xmlns:a16="http://schemas.microsoft.com/office/drawing/2014/main" id="{D09630A1-09DB-486A-8948-A9D71AF2DBC2}"/>
            </a:ext>
          </a:extLst>
        </xdr:cNvPr>
        <xdr:cNvSpPr txBox="1"/>
      </xdr:nvSpPr>
      <xdr:spPr>
        <a:xfrm>
          <a:off x="0" y="0"/>
          <a:ext cx="4976812"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IN" sz="1100"/>
        </a:p>
      </xdr:txBody>
    </xdr:sp>
    <xdr:clientData/>
  </xdr:oneCellAnchor>
  <xdr:twoCellAnchor>
    <xdr:from>
      <xdr:col>6</xdr:col>
      <xdr:colOff>147637</xdr:colOff>
      <xdr:row>2</xdr:row>
      <xdr:rowOff>38101</xdr:rowOff>
    </xdr:from>
    <xdr:to>
      <xdr:col>7</xdr:col>
      <xdr:colOff>535781</xdr:colOff>
      <xdr:row>4</xdr:row>
      <xdr:rowOff>19051</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3129B183-A069-49AF-9C38-FD61B3F15501}"/>
            </a:ext>
          </a:extLst>
        </xdr:cNvPr>
        <xdr:cNvSpPr/>
      </xdr:nvSpPr>
      <xdr:spPr>
        <a:xfrm>
          <a:off x="5791200" y="442914"/>
          <a:ext cx="995362" cy="38576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i="1" u="sng"/>
        </a:p>
      </xdr:txBody>
    </xdr:sp>
    <xdr:clientData/>
  </xdr:twoCellAnchor>
  <xdr:twoCellAnchor editAs="oneCell">
    <xdr:from>
      <xdr:col>0</xdr:col>
      <xdr:colOff>238125</xdr:colOff>
      <xdr:row>0</xdr:row>
      <xdr:rowOff>119062</xdr:rowOff>
    </xdr:from>
    <xdr:to>
      <xdr:col>2</xdr:col>
      <xdr:colOff>723902</xdr:colOff>
      <xdr:row>2</xdr:row>
      <xdr:rowOff>178593</xdr:rowOff>
    </xdr:to>
    <xdr:pic>
      <xdr:nvPicPr>
        <xdr:cNvPr id="13" name="Picture 12" descr="File:Colgate-Palmolive logo.svg - Wikipedia">
          <a:extLst>
            <a:ext uri="{FF2B5EF4-FFF2-40B4-BE49-F238E27FC236}">
              <a16:creationId xmlns:a16="http://schemas.microsoft.com/office/drawing/2014/main" id="{E4202404-3B9D-48EB-8B4E-9B7C1DA4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1352" cy="464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238125</xdr:colOff>
      <xdr:row>0</xdr:row>
      <xdr:rowOff>119062</xdr:rowOff>
    </xdr:from>
    <xdr:ext cx="3188496" cy="464344"/>
    <xdr:pic>
      <xdr:nvPicPr>
        <xdr:cNvPr id="15" name="Picture 14" descr="File:Colgate-Palmolive logo.svg - Wikipedia">
          <a:extLst>
            <a:ext uri="{FF2B5EF4-FFF2-40B4-BE49-F238E27FC236}">
              <a16:creationId xmlns:a16="http://schemas.microsoft.com/office/drawing/2014/main" id="{07D5CD70-1D98-4E85-9FDD-701CF2AF2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19062"/>
          <a:ext cx="3188496" cy="4643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xdr:colOff>
      <xdr:row>15</xdr:row>
      <xdr:rowOff>7620</xdr:rowOff>
    </xdr:from>
    <xdr:to>
      <xdr:col>5</xdr:col>
      <xdr:colOff>556260</xdr:colOff>
      <xdr:row>19</xdr:row>
      <xdr:rowOff>114300</xdr:rowOff>
    </xdr:to>
    <xdr:graphicFrame macro="">
      <xdr:nvGraphicFramePr>
        <xdr:cNvPr id="2" name="Chart 1">
          <a:extLst>
            <a:ext uri="{FF2B5EF4-FFF2-40B4-BE49-F238E27FC236}">
              <a16:creationId xmlns:a16="http://schemas.microsoft.com/office/drawing/2014/main" id="{12B4012B-D995-D04E-D6AA-64D902C729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21</xdr:row>
      <xdr:rowOff>0</xdr:rowOff>
    </xdr:from>
    <xdr:to>
      <xdr:col>5</xdr:col>
      <xdr:colOff>548640</xdr:colOff>
      <xdr:row>25</xdr:row>
      <xdr:rowOff>106680</xdr:rowOff>
    </xdr:to>
    <xdr:graphicFrame macro="">
      <xdr:nvGraphicFramePr>
        <xdr:cNvPr id="7" name="Chart 6">
          <a:extLst>
            <a:ext uri="{FF2B5EF4-FFF2-40B4-BE49-F238E27FC236}">
              <a16:creationId xmlns:a16="http://schemas.microsoft.com/office/drawing/2014/main" id="{CABA7693-A755-42E3-AC87-6CB8C2A8F7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27</xdr:row>
      <xdr:rowOff>0</xdr:rowOff>
    </xdr:from>
    <xdr:to>
      <xdr:col>5</xdr:col>
      <xdr:colOff>548640</xdr:colOff>
      <xdr:row>31</xdr:row>
      <xdr:rowOff>106680</xdr:rowOff>
    </xdr:to>
    <xdr:graphicFrame macro="">
      <xdr:nvGraphicFramePr>
        <xdr:cNvPr id="8" name="Chart 7">
          <a:extLst>
            <a:ext uri="{FF2B5EF4-FFF2-40B4-BE49-F238E27FC236}">
              <a16:creationId xmlns:a16="http://schemas.microsoft.com/office/drawing/2014/main" id="{DB5BB6E3-1D05-49C5-8476-D8FEEB635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996949</xdr:colOff>
      <xdr:row>3</xdr:row>
      <xdr:rowOff>133351</xdr:rowOff>
    </xdr:from>
    <xdr:to>
      <xdr:col>7</xdr:col>
      <xdr:colOff>419099</xdr:colOff>
      <xdr:row>5</xdr:row>
      <xdr:rowOff>114301</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D22C5753-352D-4A5C-9FC6-ABE97DD7B7FB}"/>
            </a:ext>
          </a:extLst>
        </xdr:cNvPr>
        <xdr:cNvSpPr/>
      </xdr:nvSpPr>
      <xdr:spPr>
        <a:xfrm>
          <a:off x="5026024" y="857251"/>
          <a:ext cx="1470025"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4</xdr:col>
      <xdr:colOff>171450</xdr:colOff>
      <xdr:row>3</xdr:row>
      <xdr:rowOff>133351</xdr:rowOff>
    </xdr:from>
    <xdr:to>
      <xdr:col>5</xdr:col>
      <xdr:colOff>142875</xdr:colOff>
      <xdr:row>5</xdr:row>
      <xdr:rowOff>114301</xdr:rowOff>
    </xdr:to>
    <xdr:sp macro="" textlink="">
      <xdr:nvSpPr>
        <xdr:cNvPr id="13" name="Rectangle 12">
          <a:hlinkClick xmlns:r="http://schemas.openxmlformats.org/officeDocument/2006/relationships" r:id="rId4"/>
          <a:extLst>
            <a:ext uri="{FF2B5EF4-FFF2-40B4-BE49-F238E27FC236}">
              <a16:creationId xmlns:a16="http://schemas.microsoft.com/office/drawing/2014/main" id="{33A0FEF4-1509-4EB9-9490-D9B761ABEAA5}"/>
            </a:ext>
          </a:extLst>
        </xdr:cNvPr>
        <xdr:cNvSpPr/>
      </xdr:nvSpPr>
      <xdr:spPr>
        <a:xfrm>
          <a:off x="4591050" y="704851"/>
          <a:ext cx="1000125" cy="619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4</xdr:col>
      <xdr:colOff>171450</xdr:colOff>
      <xdr:row>3</xdr:row>
      <xdr:rowOff>133351</xdr:rowOff>
    </xdr:from>
    <xdr:to>
      <xdr:col>5</xdr:col>
      <xdr:colOff>142875</xdr:colOff>
      <xdr:row>5</xdr:row>
      <xdr:rowOff>114301</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F8A4C94F-5EC1-4006-B82C-8154FE1206DB}"/>
            </a:ext>
          </a:extLst>
        </xdr:cNvPr>
        <xdr:cNvSpPr/>
      </xdr:nvSpPr>
      <xdr:spPr>
        <a:xfrm>
          <a:off x="4591050" y="704851"/>
          <a:ext cx="1000125" cy="619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editAs="oneCell">
    <xdr:from>
      <xdr:col>0</xdr:col>
      <xdr:colOff>238126</xdr:colOff>
      <xdr:row>0</xdr:row>
      <xdr:rowOff>119062</xdr:rowOff>
    </xdr:from>
    <xdr:to>
      <xdr:col>3</xdr:col>
      <xdr:colOff>35718</xdr:colOff>
      <xdr:row>3</xdr:row>
      <xdr:rowOff>11906</xdr:rowOff>
    </xdr:to>
    <xdr:pic>
      <xdr:nvPicPr>
        <xdr:cNvPr id="16" name="Picture 15" descr="File:Colgate-Palmolive logo.svg - Wikipedia">
          <a:extLst>
            <a:ext uri="{FF2B5EF4-FFF2-40B4-BE49-F238E27FC236}">
              <a16:creationId xmlns:a16="http://schemas.microsoft.com/office/drawing/2014/main" id="{8474736F-DD14-44CC-9E44-E4686C66C35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8126" y="119062"/>
          <a:ext cx="2643186" cy="464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371476</xdr:colOff>
      <xdr:row>3</xdr:row>
      <xdr:rowOff>171450</xdr:rowOff>
    </xdr:from>
    <xdr:to>
      <xdr:col>12</xdr:col>
      <xdr:colOff>171451</xdr:colOff>
      <xdr:row>5</xdr:row>
      <xdr:rowOff>79375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2BA6C5B-7299-4E64-BF33-DC39BDB7FCE7}"/>
            </a:ext>
          </a:extLst>
        </xdr:cNvPr>
        <xdr:cNvSpPr/>
      </xdr:nvSpPr>
      <xdr:spPr>
        <a:xfrm>
          <a:off x="11125201" y="714375"/>
          <a:ext cx="1019175" cy="269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5" name="Rectangle 4">
          <a:extLst>
            <a:ext uri="{FF2B5EF4-FFF2-40B4-BE49-F238E27FC236}">
              <a16:creationId xmlns:a16="http://schemas.microsoft.com/office/drawing/2014/main" id="{0CC3C0CD-FF1A-41A0-B934-AB6A70A4CE21}"/>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6" name="TextBox 5">
          <a:extLst>
            <a:ext uri="{FF2B5EF4-FFF2-40B4-BE49-F238E27FC236}">
              <a16:creationId xmlns:a16="http://schemas.microsoft.com/office/drawing/2014/main" id="{DA92E6AD-37CA-474B-9279-61F6ECD8A241}"/>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733DE38-C537-4130-AB83-CA191ADBDBAB}"/>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1</xdr:col>
      <xdr:colOff>3667126</xdr:colOff>
      <xdr:row>7</xdr:row>
      <xdr:rowOff>178594</xdr:rowOff>
    </xdr:to>
    <xdr:pic>
      <xdr:nvPicPr>
        <xdr:cNvPr id="8" name="Picture 7">
          <a:extLst>
            <a:ext uri="{FF2B5EF4-FFF2-40B4-BE49-F238E27FC236}">
              <a16:creationId xmlns:a16="http://schemas.microsoft.com/office/drawing/2014/main" id="{F3955EC4-AAFF-42AD-B68E-8F4B955E68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9" name="Rectangle 8">
          <a:extLst>
            <a:ext uri="{FF2B5EF4-FFF2-40B4-BE49-F238E27FC236}">
              <a16:creationId xmlns:a16="http://schemas.microsoft.com/office/drawing/2014/main" id="{101BB611-E9BA-4C98-AC51-7A7C9299D684}"/>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0" name="TextBox 9">
          <a:extLst>
            <a:ext uri="{FF2B5EF4-FFF2-40B4-BE49-F238E27FC236}">
              <a16:creationId xmlns:a16="http://schemas.microsoft.com/office/drawing/2014/main" id="{1E6A1886-9874-4508-9459-1FBF29C3A083}"/>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Summary</a:t>
          </a:r>
          <a:r>
            <a:rPr lang="en-IN" sz="1400" b="1" baseline="0">
              <a:solidFill>
                <a:sysClr val="windowText" lastClr="000000"/>
              </a:solidFill>
            </a:rPr>
            <a:t> of Financial Statements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DEEB052E-3EB9-43E7-AE53-1C1F42A7D4A5}"/>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2" name="Picture 11">
          <a:extLst>
            <a:ext uri="{FF2B5EF4-FFF2-40B4-BE49-F238E27FC236}">
              <a16:creationId xmlns:a16="http://schemas.microsoft.com/office/drawing/2014/main" id="{21163B07-FD13-4150-BB19-4531DDA3248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11906</xdr:colOff>
      <xdr:row>0</xdr:row>
      <xdr:rowOff>23811</xdr:rowOff>
    </xdr:from>
    <xdr:to>
      <xdr:col>12</xdr:col>
      <xdr:colOff>202406</xdr:colOff>
      <xdr:row>8</xdr:row>
      <xdr:rowOff>23812</xdr:rowOff>
    </xdr:to>
    <xdr:sp macro="" textlink="">
      <xdr:nvSpPr>
        <xdr:cNvPr id="10" name="Rectangle 9">
          <a:extLst>
            <a:ext uri="{FF2B5EF4-FFF2-40B4-BE49-F238E27FC236}">
              <a16:creationId xmlns:a16="http://schemas.microsoft.com/office/drawing/2014/main" id="{DBDF85B6-B183-4210-ABFB-47A9B9DB2C0D}"/>
            </a:ext>
          </a:extLst>
        </xdr:cNvPr>
        <xdr:cNvSpPr/>
      </xdr:nvSpPr>
      <xdr:spPr>
        <a:xfrm>
          <a:off x="11906" y="23811"/>
          <a:ext cx="10858500" cy="1535907"/>
        </a:xfrm>
        <a:prstGeom prst="rect">
          <a:avLst/>
        </a:prstGeom>
        <a:blipFill>
          <a:blip xmlns:r="http://schemas.openxmlformats.org/officeDocument/2006/relationships" r:embed="rId1"/>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3" name="TextBox 2">
          <a:extLst>
            <a:ext uri="{FF2B5EF4-FFF2-40B4-BE49-F238E27FC236}">
              <a16:creationId xmlns:a16="http://schemas.microsoft.com/office/drawing/2014/main" id="{43FFBA3D-9106-47C4-B57C-6D75E9FD7501}"/>
            </a:ext>
          </a:extLst>
        </xdr:cNvPr>
        <xdr:cNvSpPr txBox="1"/>
      </xdr:nvSpPr>
      <xdr:spPr>
        <a:xfrm>
          <a:off x="6917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30FF01A5-5723-473E-8704-94DC8044724B}"/>
            </a:ext>
          </a:extLst>
        </xdr:cNvPr>
        <xdr:cNvSpPr/>
      </xdr:nvSpPr>
      <xdr:spPr>
        <a:xfrm>
          <a:off x="10109238" y="778940"/>
          <a:ext cx="101917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1</xdr:col>
      <xdr:colOff>3667126</xdr:colOff>
      <xdr:row>7</xdr:row>
      <xdr:rowOff>178594</xdr:rowOff>
    </xdr:to>
    <xdr:pic>
      <xdr:nvPicPr>
        <xdr:cNvPr id="9" name="Picture 8">
          <a:extLst>
            <a:ext uri="{FF2B5EF4-FFF2-40B4-BE49-F238E27FC236}">
              <a16:creationId xmlns:a16="http://schemas.microsoft.com/office/drawing/2014/main" id="{B762E8AE-6E0E-4415-9398-CD958D7577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1" name="Rectangle 10">
          <a:extLst>
            <a:ext uri="{FF2B5EF4-FFF2-40B4-BE49-F238E27FC236}">
              <a16:creationId xmlns:a16="http://schemas.microsoft.com/office/drawing/2014/main" id="{5C02AD31-3FB1-4816-AB6A-3E13E33B4A13}"/>
            </a:ext>
          </a:extLst>
        </xdr:cNvPr>
        <xdr:cNvSpPr/>
      </xdr:nvSpPr>
      <xdr:spPr>
        <a:xfrm>
          <a:off x="11906" y="23811"/>
          <a:ext cx="10858500" cy="1535907"/>
        </a:xfrm>
        <a:prstGeom prst="rect">
          <a:avLst/>
        </a:prstGeom>
        <a:blipFill>
          <a:blip xmlns:r="http://schemas.openxmlformats.org/officeDocument/2006/relationships" r:embed="rId1"/>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2" name="TextBox 11">
          <a:extLst>
            <a:ext uri="{FF2B5EF4-FFF2-40B4-BE49-F238E27FC236}">
              <a16:creationId xmlns:a16="http://schemas.microsoft.com/office/drawing/2014/main" id="{F92349C8-E1E4-499A-9962-2CD8AA3829D8}"/>
            </a:ext>
          </a:extLst>
        </xdr:cNvPr>
        <xdr:cNvSpPr txBox="1"/>
      </xdr:nvSpPr>
      <xdr:spPr>
        <a:xfrm>
          <a:off x="6917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DA0479EC-C2B5-42B3-A46C-5463388F6C09}"/>
            </a:ext>
          </a:extLst>
        </xdr:cNvPr>
        <xdr:cNvSpPr/>
      </xdr:nvSpPr>
      <xdr:spPr>
        <a:xfrm>
          <a:off x="9737499" y="795873"/>
          <a:ext cx="1145381"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4" name="Picture 13">
          <a:extLst>
            <a:ext uri="{FF2B5EF4-FFF2-40B4-BE49-F238E27FC236}">
              <a16:creationId xmlns:a16="http://schemas.microsoft.com/office/drawing/2014/main" id="{857402BA-20FD-4027-B44E-AAF8D56D0A3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10</xdr:col>
      <xdr:colOff>276225</xdr:colOff>
      <xdr:row>3</xdr:row>
      <xdr:rowOff>171450</xdr:rowOff>
    </xdr:from>
    <xdr:to>
      <xdr:col>12</xdr:col>
      <xdr:colOff>171450</xdr:colOff>
      <xdr:row>5</xdr:row>
      <xdr:rowOff>69850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AABAD30B-7E00-40B2-A86D-F702F50A01AD}"/>
            </a:ext>
          </a:extLst>
        </xdr:cNvPr>
        <xdr:cNvSpPr/>
      </xdr:nvSpPr>
      <xdr:spPr>
        <a:xfrm>
          <a:off x="9725025" y="714375"/>
          <a:ext cx="1114425" cy="260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6" name="Rectangle 5">
          <a:extLst>
            <a:ext uri="{FF2B5EF4-FFF2-40B4-BE49-F238E27FC236}">
              <a16:creationId xmlns:a16="http://schemas.microsoft.com/office/drawing/2014/main" id="{9BB51107-9B98-45C9-95E0-2D862FCE0820}"/>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7" name="TextBox 6">
          <a:extLst>
            <a:ext uri="{FF2B5EF4-FFF2-40B4-BE49-F238E27FC236}">
              <a16:creationId xmlns:a16="http://schemas.microsoft.com/office/drawing/2014/main" id="{0A2C31B3-66D9-4A10-B8E6-ECF7ADB7CC13}"/>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BEF5C6ED-8D6C-4726-B338-443F520F41ED}"/>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1</xdr:col>
      <xdr:colOff>3667126</xdr:colOff>
      <xdr:row>7</xdr:row>
      <xdr:rowOff>178594</xdr:rowOff>
    </xdr:to>
    <xdr:pic>
      <xdr:nvPicPr>
        <xdr:cNvPr id="9" name="Picture 8">
          <a:extLst>
            <a:ext uri="{FF2B5EF4-FFF2-40B4-BE49-F238E27FC236}">
              <a16:creationId xmlns:a16="http://schemas.microsoft.com/office/drawing/2014/main" id="{F1AF282B-5402-4B62-B72A-6BC8A95F41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0" name="Rectangle 9">
          <a:extLst>
            <a:ext uri="{FF2B5EF4-FFF2-40B4-BE49-F238E27FC236}">
              <a16:creationId xmlns:a16="http://schemas.microsoft.com/office/drawing/2014/main" id="{F9E3A2AD-77E5-47AA-B8AD-ECFD103D45BE}"/>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1" name="TextBox 10">
          <a:extLst>
            <a:ext uri="{FF2B5EF4-FFF2-40B4-BE49-F238E27FC236}">
              <a16:creationId xmlns:a16="http://schemas.microsoft.com/office/drawing/2014/main" id="{47A42E12-B030-4EC4-A854-E5A1BA32D636}"/>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A9EDE1F4-9CC8-4CB6-9C11-F3B707CB3CAF}"/>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3" name="Picture 12">
          <a:extLst>
            <a:ext uri="{FF2B5EF4-FFF2-40B4-BE49-F238E27FC236}">
              <a16:creationId xmlns:a16="http://schemas.microsoft.com/office/drawing/2014/main" id="{71D163C7-3EF2-4D31-B585-B51313F072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4" name="Rectangle 13">
          <a:extLst>
            <a:ext uri="{FF2B5EF4-FFF2-40B4-BE49-F238E27FC236}">
              <a16:creationId xmlns:a16="http://schemas.microsoft.com/office/drawing/2014/main" id="{777010D2-A8EE-415E-B853-733173400D13}"/>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5" name="TextBox 14">
          <a:extLst>
            <a:ext uri="{FF2B5EF4-FFF2-40B4-BE49-F238E27FC236}">
              <a16:creationId xmlns:a16="http://schemas.microsoft.com/office/drawing/2014/main" id="{A5377FBB-B41B-474F-91AF-9AB9B9902F6B}"/>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59D9530C-7C7A-4B03-89FC-065AA0C1C87F}"/>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1</xdr:col>
      <xdr:colOff>3667126</xdr:colOff>
      <xdr:row>7</xdr:row>
      <xdr:rowOff>178594</xdr:rowOff>
    </xdr:to>
    <xdr:pic>
      <xdr:nvPicPr>
        <xdr:cNvPr id="17" name="Picture 16">
          <a:extLst>
            <a:ext uri="{FF2B5EF4-FFF2-40B4-BE49-F238E27FC236}">
              <a16:creationId xmlns:a16="http://schemas.microsoft.com/office/drawing/2014/main" id="{7AECDFE1-A58E-40CC-895D-EC11DDCBCD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8" name="Rectangle 17">
          <a:extLst>
            <a:ext uri="{FF2B5EF4-FFF2-40B4-BE49-F238E27FC236}">
              <a16:creationId xmlns:a16="http://schemas.microsoft.com/office/drawing/2014/main" id="{4F38458D-AD22-4393-A6B4-9230CAE5F4C9}"/>
            </a:ext>
          </a:extLst>
        </xdr:cNvPr>
        <xdr:cNvSpPr/>
      </xdr:nvSpPr>
      <xdr:spPr>
        <a:xfrm>
          <a:off x="11906" y="23811"/>
          <a:ext cx="1088707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9" name="TextBox 18">
          <a:extLst>
            <a:ext uri="{FF2B5EF4-FFF2-40B4-BE49-F238E27FC236}">
              <a16:creationId xmlns:a16="http://schemas.microsoft.com/office/drawing/2014/main" id="{2876BA67-1075-4646-9934-28BBFDC4ADEF}"/>
            </a:ext>
          </a:extLst>
        </xdr:cNvPr>
        <xdr:cNvSpPr txBox="1"/>
      </xdr:nvSpPr>
      <xdr:spPr>
        <a:xfrm>
          <a:off x="692943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Income</a:t>
          </a:r>
          <a:r>
            <a:rPr lang="en-IN" sz="1400" b="1" baseline="0">
              <a:solidFill>
                <a:sysClr val="windowText" lastClr="000000"/>
              </a:solidFill>
            </a:rPr>
            <a:t> Statement</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235DD956-CCEE-4873-80F5-270B185E236D}"/>
            </a:ext>
          </a:extLst>
        </xdr:cNvPr>
        <xdr:cNvSpPr/>
      </xdr:nvSpPr>
      <xdr:spPr>
        <a:xfrm>
          <a:off x="9758930" y="795873"/>
          <a:ext cx="115252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1" name="Picture 20">
          <a:extLst>
            <a:ext uri="{FF2B5EF4-FFF2-40B4-BE49-F238E27FC236}">
              <a16:creationId xmlns:a16="http://schemas.microsoft.com/office/drawing/2014/main" id="{4E306343-B7BF-4AD6-B996-56CC09E30A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10</xdr:col>
      <xdr:colOff>406400</xdr:colOff>
      <xdr:row>3</xdr:row>
      <xdr:rowOff>139700</xdr:rowOff>
    </xdr:from>
    <xdr:to>
      <xdr:col>13</xdr:col>
      <xdr:colOff>3175</xdr:colOff>
      <xdr:row>6</xdr:row>
      <xdr:rowOff>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85E75AAF-892C-4B54-9D5A-40A9F153C68B}"/>
            </a:ext>
          </a:extLst>
        </xdr:cNvPr>
        <xdr:cNvSpPr/>
      </xdr:nvSpPr>
      <xdr:spPr>
        <a:xfrm>
          <a:off x="8991600" y="673100"/>
          <a:ext cx="1019175"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5C6413AE-F612-4DD9-982B-17143C088152}"/>
            </a:ext>
          </a:extLst>
        </xdr:cNvPr>
        <xdr:cNvSpPr/>
      </xdr:nvSpPr>
      <xdr:spPr>
        <a:xfrm>
          <a:off x="9563100" y="742950"/>
          <a:ext cx="1114425"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7" name="Rectangle 6">
          <a:extLst>
            <a:ext uri="{FF2B5EF4-FFF2-40B4-BE49-F238E27FC236}">
              <a16:creationId xmlns:a16="http://schemas.microsoft.com/office/drawing/2014/main" id="{CBD69D60-9A38-45D9-8A07-CAACF2440D6E}"/>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8" name="TextBox 7">
          <a:extLst>
            <a:ext uri="{FF2B5EF4-FFF2-40B4-BE49-F238E27FC236}">
              <a16:creationId xmlns:a16="http://schemas.microsoft.com/office/drawing/2014/main" id="{DAD6B99E-3F5F-41E8-B969-E85E839542D6}"/>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E77A151B-63FB-403C-AD71-B7594E24177B}"/>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342901</xdr:colOff>
      <xdr:row>8</xdr:row>
      <xdr:rowOff>130969</xdr:rowOff>
    </xdr:to>
    <xdr:pic>
      <xdr:nvPicPr>
        <xdr:cNvPr id="10" name="Picture 9">
          <a:extLst>
            <a:ext uri="{FF2B5EF4-FFF2-40B4-BE49-F238E27FC236}">
              <a16:creationId xmlns:a16="http://schemas.microsoft.com/office/drawing/2014/main" id="{DE8607EB-F242-46A0-8E70-89579872E68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twoCellAnchor>
  <xdr:twoCellAnchor>
    <xdr:from>
      <xdr:col>0</xdr:col>
      <xdr:colOff>11906</xdr:colOff>
      <xdr:row>0</xdr:row>
      <xdr:rowOff>23811</xdr:rowOff>
    </xdr:from>
    <xdr:to>
      <xdr:col>12</xdr:col>
      <xdr:colOff>202406</xdr:colOff>
      <xdr:row>8</xdr:row>
      <xdr:rowOff>23812</xdr:rowOff>
    </xdr:to>
    <xdr:sp macro="" textlink="">
      <xdr:nvSpPr>
        <xdr:cNvPr id="11" name="Rectangle 10">
          <a:extLst>
            <a:ext uri="{FF2B5EF4-FFF2-40B4-BE49-F238E27FC236}">
              <a16:creationId xmlns:a16="http://schemas.microsoft.com/office/drawing/2014/main" id="{B61A5BEC-5E6D-4397-A09B-C96CBF063E5B}"/>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2" name="TextBox 11">
          <a:extLst>
            <a:ext uri="{FF2B5EF4-FFF2-40B4-BE49-F238E27FC236}">
              <a16:creationId xmlns:a16="http://schemas.microsoft.com/office/drawing/2014/main" id="{5975DB07-7185-4986-A023-7DDD9EAC5ABD}"/>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3C798ACA-CD23-444E-812D-B10C3D02A779}"/>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14" name="Picture 13">
          <a:extLst>
            <a:ext uri="{FF2B5EF4-FFF2-40B4-BE49-F238E27FC236}">
              <a16:creationId xmlns:a16="http://schemas.microsoft.com/office/drawing/2014/main" id="{D8D0ED67-78A5-4CCE-BE9E-16524A14A0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15" name="Rectangle 14">
          <a:extLst>
            <a:ext uri="{FF2B5EF4-FFF2-40B4-BE49-F238E27FC236}">
              <a16:creationId xmlns:a16="http://schemas.microsoft.com/office/drawing/2014/main" id="{788F3E2C-A88C-4333-B482-7203424DF54B}"/>
            </a:ext>
          </a:extLst>
        </xdr:cNvPr>
        <xdr:cNvSpPr/>
      </xdr:nvSpPr>
      <xdr:spPr>
        <a:xfrm>
          <a:off x="11906" y="23811"/>
          <a:ext cx="10677525" cy="1533526"/>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16" name="TextBox 15">
          <a:extLst>
            <a:ext uri="{FF2B5EF4-FFF2-40B4-BE49-F238E27FC236}">
              <a16:creationId xmlns:a16="http://schemas.microsoft.com/office/drawing/2014/main" id="{1A12CBAA-5E28-451F-9E24-412EC675C54A}"/>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7BA13C31-3F2F-49BB-B0D1-ABF25DA94AB6}"/>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twoCellAnchor editAs="oneCell">
    <xdr:from>
      <xdr:col>1</xdr:col>
      <xdr:colOff>142875</xdr:colOff>
      <xdr:row>0</xdr:row>
      <xdr:rowOff>130970</xdr:rowOff>
    </xdr:from>
    <xdr:to>
      <xdr:col>2</xdr:col>
      <xdr:colOff>342901</xdr:colOff>
      <xdr:row>8</xdr:row>
      <xdr:rowOff>130969</xdr:rowOff>
    </xdr:to>
    <xdr:pic>
      <xdr:nvPicPr>
        <xdr:cNvPr id="18" name="Picture 17">
          <a:extLst>
            <a:ext uri="{FF2B5EF4-FFF2-40B4-BE49-F238E27FC236}">
              <a16:creationId xmlns:a16="http://schemas.microsoft.com/office/drawing/2014/main" id="{8FCCDDFB-7B78-4FC9-8913-F720495B8F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twoCellAnchor>
  <xdr:twoCellAnchor>
    <xdr:from>
      <xdr:col>0</xdr:col>
      <xdr:colOff>11905</xdr:colOff>
      <xdr:row>0</xdr:row>
      <xdr:rowOff>23811</xdr:rowOff>
    </xdr:from>
    <xdr:to>
      <xdr:col>12</xdr:col>
      <xdr:colOff>250030</xdr:colOff>
      <xdr:row>8</xdr:row>
      <xdr:rowOff>23812</xdr:rowOff>
    </xdr:to>
    <xdr:sp macro="" textlink="">
      <xdr:nvSpPr>
        <xdr:cNvPr id="19" name="Rectangle 18">
          <a:extLst>
            <a:ext uri="{FF2B5EF4-FFF2-40B4-BE49-F238E27FC236}">
              <a16:creationId xmlns:a16="http://schemas.microsoft.com/office/drawing/2014/main" id="{02705597-C0CC-4D8A-89AF-FD24253CC0F0}"/>
            </a:ext>
          </a:extLst>
        </xdr:cNvPr>
        <xdr:cNvSpPr/>
      </xdr:nvSpPr>
      <xdr:spPr>
        <a:xfrm>
          <a:off x="11905" y="23811"/>
          <a:ext cx="1004887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0" name="TextBox 19">
          <a:extLst>
            <a:ext uri="{FF2B5EF4-FFF2-40B4-BE49-F238E27FC236}">
              <a16:creationId xmlns:a16="http://schemas.microsoft.com/office/drawing/2014/main" id="{86846511-E285-4C2B-9121-BD27DA948383}"/>
            </a:ext>
          </a:extLst>
        </xdr:cNvPr>
        <xdr:cNvSpPr txBox="1"/>
      </xdr:nvSpPr>
      <xdr:spPr>
        <a:xfrm>
          <a:off x="6872287"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B3E0281-E228-478B-AFB1-650E8150C5DF}"/>
            </a:ext>
          </a:extLst>
        </xdr:cNvPr>
        <xdr:cNvSpPr/>
      </xdr:nvSpPr>
      <xdr:spPr>
        <a:xfrm>
          <a:off x="9701780" y="795873"/>
          <a:ext cx="981075"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22" name="Picture 21">
          <a:extLst>
            <a:ext uri="{FF2B5EF4-FFF2-40B4-BE49-F238E27FC236}">
              <a16:creationId xmlns:a16="http://schemas.microsoft.com/office/drawing/2014/main" id="{27C85C8A-DF3F-4FDB-AD2E-DCF9ADF159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30970"/>
          <a:ext cx="3524251" cy="1381124"/>
        </a:xfrm>
        <a:prstGeom prst="rect">
          <a:avLst/>
        </a:prstGeom>
      </xdr:spPr>
    </xdr:pic>
    <xdr:clientData/>
  </xdr:oneCellAnchor>
  <xdr:twoCellAnchor>
    <xdr:from>
      <xdr:col>10</xdr:col>
      <xdr:colOff>406400</xdr:colOff>
      <xdr:row>3</xdr:row>
      <xdr:rowOff>139700</xdr:rowOff>
    </xdr:from>
    <xdr:to>
      <xdr:col>13</xdr:col>
      <xdr:colOff>3175</xdr:colOff>
      <xdr:row>6</xdr:row>
      <xdr:rowOff>0</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BD9124DF-DB3E-44DF-8A01-361E88A63052}"/>
            </a:ext>
          </a:extLst>
        </xdr:cNvPr>
        <xdr:cNvSpPr/>
      </xdr:nvSpPr>
      <xdr:spPr>
        <a:xfrm>
          <a:off x="9002713" y="711200"/>
          <a:ext cx="1073150" cy="431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10</xdr:col>
      <xdr:colOff>276225</xdr:colOff>
      <xdr:row>3</xdr:row>
      <xdr:rowOff>171450</xdr:rowOff>
    </xdr:from>
    <xdr:to>
      <xdr:col>12</xdr:col>
      <xdr:colOff>171450</xdr:colOff>
      <xdr:row>5</xdr:row>
      <xdr:rowOff>69850</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66115F3D-892E-48F2-B588-CD5CE0FA818B}"/>
            </a:ext>
          </a:extLst>
        </xdr:cNvPr>
        <xdr:cNvSpPr/>
      </xdr:nvSpPr>
      <xdr:spPr>
        <a:xfrm>
          <a:off x="8872538" y="742950"/>
          <a:ext cx="1109662" cy="279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t>Back to Index</a:t>
          </a:r>
        </a:p>
      </xdr:txBody>
    </xdr:sp>
    <xdr:clientData/>
  </xdr:twoCellAnchor>
  <xdr:twoCellAnchor>
    <xdr:from>
      <xdr:col>0</xdr:col>
      <xdr:colOff>11906</xdr:colOff>
      <xdr:row>0</xdr:row>
      <xdr:rowOff>23811</xdr:rowOff>
    </xdr:from>
    <xdr:to>
      <xdr:col>12</xdr:col>
      <xdr:colOff>202406</xdr:colOff>
      <xdr:row>8</xdr:row>
      <xdr:rowOff>23812</xdr:rowOff>
    </xdr:to>
    <xdr:sp macro="" textlink="">
      <xdr:nvSpPr>
        <xdr:cNvPr id="25" name="Rectangle 24">
          <a:extLst>
            <a:ext uri="{FF2B5EF4-FFF2-40B4-BE49-F238E27FC236}">
              <a16:creationId xmlns:a16="http://schemas.microsoft.com/office/drawing/2014/main" id="{F630A920-9DEB-4BA8-912B-2EE4C773EB57}"/>
            </a:ext>
          </a:extLst>
        </xdr:cNvPr>
        <xdr:cNvSpPr/>
      </xdr:nvSpPr>
      <xdr:spPr>
        <a:xfrm>
          <a:off x="11906" y="23811"/>
          <a:ext cx="100012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26" name="TextBox 25">
          <a:extLst>
            <a:ext uri="{FF2B5EF4-FFF2-40B4-BE49-F238E27FC236}">
              <a16:creationId xmlns:a16="http://schemas.microsoft.com/office/drawing/2014/main" id="{2754A862-F7BD-48E0-80F2-AE25F0746ADC}"/>
            </a:ext>
          </a:extLst>
        </xdr:cNvPr>
        <xdr:cNvSpPr txBox="1"/>
      </xdr:nvSpPr>
      <xdr:spPr>
        <a:xfrm>
          <a:off x="6155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27" name="Rectangle 26">
          <a:hlinkClick xmlns:r="http://schemas.openxmlformats.org/officeDocument/2006/relationships" r:id="rId1"/>
          <a:extLst>
            <a:ext uri="{FF2B5EF4-FFF2-40B4-BE49-F238E27FC236}">
              <a16:creationId xmlns:a16="http://schemas.microsoft.com/office/drawing/2014/main" id="{19A94F97-058F-4E7E-8E3B-7D34503F2F04}"/>
            </a:ext>
          </a:extLst>
        </xdr:cNvPr>
        <xdr:cNvSpPr/>
      </xdr:nvSpPr>
      <xdr:spPr>
        <a:xfrm>
          <a:off x="9011218" y="795873"/>
          <a:ext cx="101441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1870" cy="1523999"/>
    <xdr:pic>
      <xdr:nvPicPr>
        <xdr:cNvPr id="28" name="Picture 27">
          <a:extLst>
            <a:ext uri="{FF2B5EF4-FFF2-40B4-BE49-F238E27FC236}">
              <a16:creationId xmlns:a16="http://schemas.microsoft.com/office/drawing/2014/main" id="{8316BBB3-BE4E-4D6F-B567-A823CB7FED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1870" cy="1523999"/>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29" name="Rectangle 28">
          <a:extLst>
            <a:ext uri="{FF2B5EF4-FFF2-40B4-BE49-F238E27FC236}">
              <a16:creationId xmlns:a16="http://schemas.microsoft.com/office/drawing/2014/main" id="{EC46F6CA-B076-4AB8-9BB0-524BF8C79426}"/>
            </a:ext>
          </a:extLst>
        </xdr:cNvPr>
        <xdr:cNvSpPr/>
      </xdr:nvSpPr>
      <xdr:spPr>
        <a:xfrm>
          <a:off x="11906" y="23811"/>
          <a:ext cx="100012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30" name="TextBox 29">
          <a:extLst>
            <a:ext uri="{FF2B5EF4-FFF2-40B4-BE49-F238E27FC236}">
              <a16:creationId xmlns:a16="http://schemas.microsoft.com/office/drawing/2014/main" id="{597ADA74-0C0D-4161-8DDF-4716CFAB3C77}"/>
            </a:ext>
          </a:extLst>
        </xdr:cNvPr>
        <xdr:cNvSpPr txBox="1"/>
      </xdr:nvSpPr>
      <xdr:spPr>
        <a:xfrm>
          <a:off x="6155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22B6F839-E316-42B3-8EF7-05B7BB69DA99}"/>
            </a:ext>
          </a:extLst>
        </xdr:cNvPr>
        <xdr:cNvSpPr/>
      </xdr:nvSpPr>
      <xdr:spPr>
        <a:xfrm>
          <a:off x="9011218" y="795873"/>
          <a:ext cx="101441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32" name="Picture 31">
          <a:extLst>
            <a:ext uri="{FF2B5EF4-FFF2-40B4-BE49-F238E27FC236}">
              <a16:creationId xmlns:a16="http://schemas.microsoft.com/office/drawing/2014/main" id="{7F2828A1-183C-4207-A387-98BF16EB07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twoCellAnchor>
    <xdr:from>
      <xdr:col>0</xdr:col>
      <xdr:colOff>11906</xdr:colOff>
      <xdr:row>0</xdr:row>
      <xdr:rowOff>23811</xdr:rowOff>
    </xdr:from>
    <xdr:to>
      <xdr:col>12</xdr:col>
      <xdr:colOff>202406</xdr:colOff>
      <xdr:row>8</xdr:row>
      <xdr:rowOff>23812</xdr:rowOff>
    </xdr:to>
    <xdr:sp macro="" textlink="">
      <xdr:nvSpPr>
        <xdr:cNvPr id="33" name="Rectangle 32">
          <a:extLst>
            <a:ext uri="{FF2B5EF4-FFF2-40B4-BE49-F238E27FC236}">
              <a16:creationId xmlns:a16="http://schemas.microsoft.com/office/drawing/2014/main" id="{5FC77A2A-7B84-405E-89F9-6671B495164C}"/>
            </a:ext>
          </a:extLst>
        </xdr:cNvPr>
        <xdr:cNvSpPr/>
      </xdr:nvSpPr>
      <xdr:spPr>
        <a:xfrm>
          <a:off x="11906" y="23811"/>
          <a:ext cx="10001250"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34" name="TextBox 33">
          <a:extLst>
            <a:ext uri="{FF2B5EF4-FFF2-40B4-BE49-F238E27FC236}">
              <a16:creationId xmlns:a16="http://schemas.microsoft.com/office/drawing/2014/main" id="{8369F642-38F4-401F-9208-5F39C64C2BB5}"/>
            </a:ext>
          </a:extLst>
        </xdr:cNvPr>
        <xdr:cNvSpPr txBox="1"/>
      </xdr:nvSpPr>
      <xdr:spPr>
        <a:xfrm>
          <a:off x="6155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Key Financial</a:t>
          </a:r>
          <a:r>
            <a:rPr lang="en-IN" sz="1400" b="1" baseline="0">
              <a:solidFill>
                <a:sysClr val="windowText" lastClr="000000"/>
              </a:solidFill>
            </a:rPr>
            <a:t> Ratios</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35" name="Rectangle 34">
          <a:hlinkClick xmlns:r="http://schemas.openxmlformats.org/officeDocument/2006/relationships" r:id="rId1"/>
          <a:extLst>
            <a:ext uri="{FF2B5EF4-FFF2-40B4-BE49-F238E27FC236}">
              <a16:creationId xmlns:a16="http://schemas.microsoft.com/office/drawing/2014/main" id="{199CFBEC-3681-4CA6-BDAD-0293698CFF19}"/>
            </a:ext>
          </a:extLst>
        </xdr:cNvPr>
        <xdr:cNvSpPr/>
      </xdr:nvSpPr>
      <xdr:spPr>
        <a:xfrm>
          <a:off x="9011218" y="795873"/>
          <a:ext cx="101441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1870" cy="1523999"/>
    <xdr:pic>
      <xdr:nvPicPr>
        <xdr:cNvPr id="36" name="Picture 35">
          <a:extLst>
            <a:ext uri="{FF2B5EF4-FFF2-40B4-BE49-F238E27FC236}">
              <a16:creationId xmlns:a16="http://schemas.microsoft.com/office/drawing/2014/main" id="{C00D5E55-A045-42EB-9F57-EB6B8EB549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1870" cy="1523999"/>
        </a:xfrm>
        <a:prstGeom prst="rect">
          <a:avLst/>
        </a:prstGeom>
      </xdr:spPr>
    </xdr:pic>
    <xdr:clientData/>
  </xdr:oneCellAnchor>
  <xdr:twoCellAnchor>
    <xdr:from>
      <xdr:col>0</xdr:col>
      <xdr:colOff>11905</xdr:colOff>
      <xdr:row>0</xdr:row>
      <xdr:rowOff>23811</xdr:rowOff>
    </xdr:from>
    <xdr:to>
      <xdr:col>12</xdr:col>
      <xdr:colOff>250030</xdr:colOff>
      <xdr:row>8</xdr:row>
      <xdr:rowOff>23812</xdr:rowOff>
    </xdr:to>
    <xdr:sp macro="" textlink="">
      <xdr:nvSpPr>
        <xdr:cNvPr id="37" name="Rectangle 36">
          <a:extLst>
            <a:ext uri="{FF2B5EF4-FFF2-40B4-BE49-F238E27FC236}">
              <a16:creationId xmlns:a16="http://schemas.microsoft.com/office/drawing/2014/main" id="{D044E8E2-B4DA-4FD2-8D40-ABC67AE41A89}"/>
            </a:ext>
          </a:extLst>
        </xdr:cNvPr>
        <xdr:cNvSpPr/>
      </xdr:nvSpPr>
      <xdr:spPr>
        <a:xfrm>
          <a:off x="11905" y="23811"/>
          <a:ext cx="10048875" cy="1524001"/>
        </a:xfrm>
        <a:prstGeom prst="rect">
          <a:avLst/>
        </a:prstGeom>
        <a:blipFill>
          <a:blip xmlns:r="http://schemas.openxmlformats.org/officeDocument/2006/relationships" r:embed="rId2"/>
          <a:tile tx="0" ty="0" sx="100000" sy="100000" flip="none" algn="tl"/>
        </a:bli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oneCellAnchor>
    <xdr:from>
      <xdr:col>6</xdr:col>
      <xdr:colOff>23812</xdr:colOff>
      <xdr:row>2</xdr:row>
      <xdr:rowOff>141921</xdr:rowOff>
    </xdr:from>
    <xdr:ext cx="4048124" cy="1015365"/>
    <xdr:sp macro="" textlink="">
      <xdr:nvSpPr>
        <xdr:cNvPr id="38" name="TextBox 37">
          <a:extLst>
            <a:ext uri="{FF2B5EF4-FFF2-40B4-BE49-F238E27FC236}">
              <a16:creationId xmlns:a16="http://schemas.microsoft.com/office/drawing/2014/main" id="{9F4EC55D-6096-4315-821B-6319258A0F5B}"/>
            </a:ext>
          </a:extLst>
        </xdr:cNvPr>
        <xdr:cNvSpPr txBox="1"/>
      </xdr:nvSpPr>
      <xdr:spPr>
        <a:xfrm>
          <a:off x="6155531" y="522921"/>
          <a:ext cx="4048124" cy="10153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IN" sz="1400" b="1">
              <a:solidFill>
                <a:sysClr val="windowText" lastClr="000000"/>
              </a:solidFill>
            </a:rPr>
            <a:t>COLGATE-PALMOLIVE COMPANY</a:t>
          </a:r>
        </a:p>
        <a:p>
          <a:r>
            <a:rPr lang="en-IN" sz="1400" b="1">
              <a:solidFill>
                <a:sysClr val="windowText" lastClr="000000"/>
              </a:solidFill>
            </a:rPr>
            <a:t>Balance</a:t>
          </a:r>
          <a:r>
            <a:rPr lang="en-IN" sz="1400" b="1" baseline="0">
              <a:solidFill>
                <a:sysClr val="windowText" lastClr="000000"/>
              </a:solidFill>
            </a:rPr>
            <a:t> Sheet</a:t>
          </a:r>
          <a:endParaRPr lang="en-IN" sz="1400" b="1">
            <a:solidFill>
              <a:sysClr val="windowText" lastClr="000000"/>
            </a:solidFill>
          </a:endParaRPr>
        </a:p>
        <a:p>
          <a:r>
            <a:rPr lang="en-IN" sz="1200" b="1" i="1">
              <a:solidFill>
                <a:sysClr val="windowText" lastClr="000000"/>
              </a:solidFill>
            </a:rPr>
            <a:t>For the years ended December 31,</a:t>
          </a:r>
        </a:p>
        <a:p>
          <a:r>
            <a:rPr lang="en-IN" sz="1200" b="1" i="1">
              <a:solidFill>
                <a:sysClr val="windowText" lastClr="000000"/>
              </a:solidFill>
            </a:rPr>
            <a:t>(All values in USD Millions, unless stated otherwise)</a:t>
          </a:r>
        </a:p>
        <a:p>
          <a:endParaRPr lang="en-IN" sz="1100"/>
        </a:p>
      </xdr:txBody>
    </xdr:sp>
    <xdr:clientData/>
  </xdr:oneCellAnchor>
  <xdr:twoCellAnchor>
    <xdr:from>
      <xdr:col>10</xdr:col>
      <xdr:colOff>414905</xdr:colOff>
      <xdr:row>4</xdr:row>
      <xdr:rowOff>33873</xdr:rowOff>
    </xdr:from>
    <xdr:to>
      <xdr:col>12</xdr:col>
      <xdr:colOff>214880</xdr:colOff>
      <xdr:row>5</xdr:row>
      <xdr:rowOff>114307</xdr:rowOff>
    </xdr:to>
    <xdr:sp macro="" textlink="">
      <xdr:nvSpPr>
        <xdr:cNvPr id="39" name="Rectangle 38">
          <a:hlinkClick xmlns:r="http://schemas.openxmlformats.org/officeDocument/2006/relationships" r:id="rId1"/>
          <a:extLst>
            <a:ext uri="{FF2B5EF4-FFF2-40B4-BE49-F238E27FC236}">
              <a16:creationId xmlns:a16="http://schemas.microsoft.com/office/drawing/2014/main" id="{F1B5E1F2-3317-4320-AAAF-73396F2DC235}"/>
            </a:ext>
          </a:extLst>
        </xdr:cNvPr>
        <xdr:cNvSpPr/>
      </xdr:nvSpPr>
      <xdr:spPr>
        <a:xfrm>
          <a:off x="9011218" y="795873"/>
          <a:ext cx="1014412" cy="2709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i="1" u="sng">
              <a:solidFill>
                <a:sysClr val="windowText" lastClr="000000"/>
              </a:solidFill>
            </a:rPr>
            <a:t>Back to Index</a:t>
          </a:r>
        </a:p>
      </xdr:txBody>
    </xdr:sp>
    <xdr:clientData/>
  </xdr:twoCellAnchor>
  <xdr:oneCellAnchor>
    <xdr:from>
      <xdr:col>1</xdr:col>
      <xdr:colOff>142875</xdr:colOff>
      <xdr:row>0</xdr:row>
      <xdr:rowOff>130970</xdr:rowOff>
    </xdr:from>
    <xdr:ext cx="3524251" cy="1381124"/>
    <xdr:pic>
      <xdr:nvPicPr>
        <xdr:cNvPr id="40" name="Picture 39">
          <a:extLst>
            <a:ext uri="{FF2B5EF4-FFF2-40B4-BE49-F238E27FC236}">
              <a16:creationId xmlns:a16="http://schemas.microsoft.com/office/drawing/2014/main" id="{C5EDD0A0-7F13-41C8-99A8-3033DFF840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30970"/>
          <a:ext cx="3524251" cy="13811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er/Downloads/Colgate-US_Am-Y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dex"/>
      <sheetName val="Business Summary"/>
      <sheetName val="Valuation Summary"/>
      <sheetName val="Football Field Analysis"/>
      <sheetName val="FS Summary"/>
      <sheetName val="Key Ratios"/>
      <sheetName val="Historical and Forecasted FS&gt;&gt;"/>
      <sheetName val="IS"/>
      <sheetName val="BS"/>
      <sheetName val="CFS"/>
      <sheetName val="Assumptions&gt;&gt;"/>
      <sheetName val="IS Assumptions"/>
      <sheetName val="BS Assumptions "/>
      <sheetName val="Equity Schedule"/>
      <sheetName val="Debt Schedule"/>
      <sheetName val="Income Approach"/>
      <sheetName val="DCF"/>
      <sheetName val="WACC"/>
      <sheetName val="Beta"/>
      <sheetName val="Risk Free Rate"/>
      <sheetName val="Notes"/>
      <sheetName val="working"/>
      <sheetName val="Market Approach"/>
      <sheetName val="GPC"/>
      <sheetName val="Cost Approach"/>
      <sheetName val="NAV"/>
      <sheetName val="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3">
          <cell r="B13" t="str">
            <v>North America</v>
          </cell>
          <cell r="S13">
            <v>0.20172688492573368</v>
          </cell>
        </row>
        <row r="14">
          <cell r="B14" t="str">
            <v>Latin America</v>
          </cell>
          <cell r="S14">
            <v>0.23847458498226859</v>
          </cell>
        </row>
        <row r="15">
          <cell r="B15" t="str">
            <v>Europe</v>
          </cell>
          <cell r="S15">
            <v>0.1406691679087218</v>
          </cell>
        </row>
        <row r="16">
          <cell r="B16" t="str">
            <v>Asia Pacific</v>
          </cell>
          <cell r="S16">
            <v>0.14298196021997225</v>
          </cell>
        </row>
        <row r="17">
          <cell r="B17" t="str">
            <v>Africa/Eurasia</v>
          </cell>
          <cell r="S17">
            <v>5.5661201624094159E-2</v>
          </cell>
        </row>
        <row r="18">
          <cell r="B18" t="str">
            <v>Total Oral, Personal and Home Care</v>
          </cell>
          <cell r="S18">
            <v>0.77951379966079049</v>
          </cell>
        </row>
        <row r="19">
          <cell r="B19" t="str">
            <v>Pet Nutrition</v>
          </cell>
          <cell r="S19">
            <v>0.22048620033920954</v>
          </cell>
        </row>
        <row r="85">
          <cell r="B85" t="str">
            <v>North America</v>
          </cell>
          <cell r="C85">
            <v>0.28679906542056077</v>
          </cell>
          <cell r="D85">
            <v>0.26410050788559208</v>
          </cell>
          <cell r="E85">
            <v>0.20411478072550082</v>
          </cell>
          <cell r="F85">
            <v>0.19942348008385744</v>
          </cell>
          <cell r="G85">
            <v>0.22726114649681528</v>
          </cell>
        </row>
        <row r="86">
          <cell r="B86" t="str">
            <v>Latin America</v>
          </cell>
          <cell r="C86">
            <v>0.26705490848585689</v>
          </cell>
          <cell r="D86">
            <v>0.28525453481568169</v>
          </cell>
          <cell r="E86">
            <v>0.27627627627627627</v>
          </cell>
          <cell r="F86">
            <v>0.27825213460572579</v>
          </cell>
          <cell r="G86">
            <v>0.30538793103448275</v>
          </cell>
        </row>
        <row r="87">
          <cell r="B87" t="str">
            <v>Europe</v>
          </cell>
          <cell r="C87">
            <v>0.25469387755102041</v>
          </cell>
          <cell r="D87">
            <v>0.23734983618492903</v>
          </cell>
          <cell r="E87">
            <v>0.24005631819781767</v>
          </cell>
          <cell r="F87">
            <v>0.20172684458398743</v>
          </cell>
          <cell r="G87">
            <v>0.20168067226890757</v>
          </cell>
        </row>
        <row r="88">
          <cell r="B88" t="str">
            <v>Asia Pacific</v>
          </cell>
          <cell r="C88">
            <v>0.27669006280014774</v>
          </cell>
          <cell r="D88">
            <v>0.28619029988893002</v>
          </cell>
          <cell r="E88">
            <v>0.29438437391001049</v>
          </cell>
          <cell r="F88">
            <v>0.26079263977353151</v>
          </cell>
          <cell r="G88">
            <v>0.27570093457943923</v>
          </cell>
        </row>
        <row r="89">
          <cell r="B89" t="str">
            <v>Africa/Eurasia</v>
          </cell>
          <cell r="C89">
            <v>0.19062181447502549</v>
          </cell>
          <cell r="D89">
            <v>0.20998980632008155</v>
          </cell>
          <cell r="E89">
            <v>0.19425837320574163</v>
          </cell>
          <cell r="F89">
            <v>0.21072088724584104</v>
          </cell>
          <cell r="G89">
            <v>0.23453370267774701</v>
          </cell>
        </row>
        <row r="90">
          <cell r="B90" t="str">
            <v>Total Oral, Personal and Home Care</v>
          </cell>
          <cell r="G90">
            <v>0.2559504186721171</v>
          </cell>
        </row>
        <row r="91">
          <cell r="B91"/>
          <cell r="G91"/>
        </row>
        <row r="92">
          <cell r="B92" t="str">
            <v>Pet Nutrition</v>
          </cell>
          <cell r="C92">
            <v>0.27841584158415844</v>
          </cell>
          <cell r="D92">
            <v>0.27506070065903571</v>
          </cell>
          <cell r="E92">
            <v>0.27212322561159769</v>
          </cell>
          <cell r="F92">
            <v>0.22892539725289524</v>
          </cell>
          <cell r="G92">
            <v>0.18787878787878787</v>
          </cell>
        </row>
      </sheetData>
    </sheetDataSet>
  </externalBook>
</externalLink>
</file>

<file path=xl/persons/person.xml><?xml version="1.0" encoding="utf-8"?>
<personList xmlns="http://schemas.microsoft.com/office/spreadsheetml/2018/threadedcomments" xmlns:x="http://schemas.openxmlformats.org/spreadsheetml/2006/main">
  <person displayName="Amra Mahmood" id="{FB754467-CA30-4363-AD02-C7DD5FEB2889}" userId="b7f652b374ad7e73"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1BD1A4-1DAB-49DF-A48C-238ED9F60256}" name="Table1" displayName="Table1" ref="AE250:AH254" totalsRowShown="0" headerRowDxfId="6" dataDxfId="5">
  <autoFilter ref="AE250:AH254" xr:uid="{FC223CA6-EC62-45F0-B35E-D00ACFD61E54}"/>
  <tableColumns count="4">
    <tableColumn id="1" xr3:uid="{90820BFB-F8AD-4952-95CF-3C5F787BB996}" name="Company" dataDxfId="4"/>
    <tableColumn id="2" xr3:uid="{800AAC1D-200F-4FCE-B254-6AF725E1780C}" name="Revenue" dataDxfId="3"/>
    <tableColumn id="3" xr3:uid="{42445053-660F-4DA5-ACB9-7B7D18ED68F1}" name="Gross Profit" dataDxfId="2"/>
    <tableColumn id="4" xr3:uid="{2412A2EC-B45E-4235-86D8-C29C15B0B50E}" name="Gross Margin" dataDxfId="1">
      <calculatedColumnFormula>Table1[[#This Row],[Gross Profit]]/Table1[[#This Row],[Revenue]]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6918623-9F13-4617-A97E-7A3F989FC1E8}" name="Table2" displayName="Table2" ref="Z116:AE121" totalsRowShown="0">
  <autoFilter ref="Z116:AE121" xr:uid="{67D165B4-B615-4E86-B5FE-0F171B2C7224}"/>
  <tableColumns count="6">
    <tableColumn id="1" xr3:uid="{5967D5DE-AB59-4230-B32F-A086B6EF3F3F}" name="Product"/>
    <tableColumn id="2" xr3:uid="{B5AEA84D-DC6C-48AE-8839-6EA9D16BE651}" name="2020"/>
    <tableColumn id="3" xr3:uid="{94B4019D-78E9-4BB4-801B-DDDF98162D59}" name="2021"/>
    <tableColumn id="4" xr3:uid="{5746C7E2-1B66-4410-B0AF-60C6C41F043E}" name="2022"/>
    <tableColumn id="5" xr3:uid="{B69D748D-64D0-488C-917F-F5229587CDF3}" name="2023"/>
    <tableColumn id="6" xr3:uid="{50EC8115-998F-47E7-BE46-1945AB9A2D42}" name="202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1C8D68-AA1A-4F35-852D-8EFB9EDE002C}" name="Table7" displayName="Table7" ref="Y136:Z141" totalsRowShown="0">
  <autoFilter ref="Y136:Z141" xr:uid="{A1B328C1-288A-4880-9D00-A56800003BAE}"/>
  <tableColumns count="2">
    <tableColumn id="1" xr3:uid="{67B0D7BB-3E59-47C5-8135-1D4204F1EDD0}" name="Region"/>
    <tableColumn id="2" xr3:uid="{A8B5934A-4F08-42D6-BA7B-0014048A00B2}" name="Operating profit margi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F49DCD0-B85D-42D8-A389-FBE96ACBC2D3}" name="Table9" displayName="Table9" ref="Y89:Z95" totalsRowShown="0">
  <autoFilter ref="Y89:Z95" xr:uid="{55AD0C89-5FD2-4DD2-BE2D-FB7E2B49883A}"/>
  <tableColumns count="2">
    <tableColumn id="1" xr3:uid="{E1084ED8-A22B-42D5-9D88-CB8FD4542A86}" name="Region"/>
    <tableColumn id="2" xr3:uid="{CB5A9536-37A9-4891-B7A7-794499EF56D2}" name="Net Sal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7" dT="2024-06-12T09:40:13.73" personId="{FB754467-CA30-4363-AD02-C7DD5FEB2889}" id="{1DC42E46-A488-4B3E-8E6A-594F5BE19017}">
    <text>EBIT/Capital Employed.
--&gt;EBIT: Operating Profit - Non-service related postretirement costs.
--&gt;Capital Employed: Total Equity + Long term debt.</text>
  </threadedComment>
</ThreadedComments>
</file>

<file path=xl/threadedComments/threadedComment2.xml><?xml version="1.0" encoding="utf-8"?>
<ThreadedComments xmlns="http://schemas.microsoft.com/office/spreadsheetml/2018/threadedcomments" xmlns:x="http://schemas.openxmlformats.org/spreadsheetml/2006/main">
  <threadedComment ref="B62" dT="2024-06-18T18:06:06.36" personId="{FB754467-CA30-4363-AD02-C7DD5FEB2889}" id="{7969750C-56A9-47B5-AD37-FA85B877608B}">
    <text xml:space="preserve">Case 1:- 2024-2026: Captures the impact of war. 2027 onwards: revival Post war </text>
  </threadedComment>
  <threadedComment ref="B65" dT="2024-06-18T18:22:44.42" personId="{FB754467-CA30-4363-AD02-C7DD5FEB2889}" id="{291C4542-E65D-4184-857F-EE7D02C11709}">
    <text xml:space="preserve">A general increase of 0.3% 
</text>
  </threadedComment>
  <threadedComment ref="B68" dT="2024-06-18T18:23:03.56" personId="{FB754467-CA30-4363-AD02-C7DD5FEB2889}" id="{2BED6198-54C9-4871-BA64-363316A980ED}">
    <text xml:space="preserve">A general increase of 0.5% </text>
  </threadedComment>
  <threadedComment ref="B71" dT="2024-06-18T18:23:55.70" personId="{FB754467-CA30-4363-AD02-C7DD5FEB2889}" id="{AAFE7DCE-4D67-4F9E-B3F9-686D6C2A2AEF}">
    <text>A general increase of 0.5%</text>
  </threadedComment>
  <threadedComment ref="B74" dT="2024-06-18T18:23:55.70" personId="{FB754467-CA30-4363-AD02-C7DD5FEB2889}" id="{0B6E0BA9-0F0D-4269-A3BD-1A7401355551}">
    <text>A general decline of 0.5%</text>
  </threadedComment>
  <threadedComment ref="B77" dT="2024-06-18T18:23:55.70" personId="{FB754467-CA30-4363-AD02-C7DD5FEB2889}" id="{B8A7892E-B044-419D-B225-C50723567876}">
    <text>A general decline of 0.5%</text>
  </threadedComment>
</ThreadedComments>
</file>

<file path=xl/threadedComments/threadedComment3.xml><?xml version="1.0" encoding="utf-8"?>
<ThreadedComments xmlns="http://schemas.microsoft.com/office/spreadsheetml/2018/threadedcomments" xmlns:x="http://schemas.openxmlformats.org/spreadsheetml/2006/main">
  <threadedComment ref="H20" dT="2024-08-03T17:10:50.18" personId="{FB754467-CA30-4363-AD02-C7DD5FEB2889}" id="{C689D0C0-FE60-423C-858D-50DBB8278078}">
    <text>This balance is constant at 348 as we have captured the impact of profits and dividends pertaining to NCI within retained earnings calculation below.</text>
  </threadedComment>
</ThreadedComments>
</file>

<file path=xl/threadedComments/threadedComment4.xml><?xml version="1.0" encoding="utf-8"?>
<ThreadedComments xmlns="http://schemas.microsoft.com/office/spreadsheetml/2018/threadedcomments" xmlns:x="http://schemas.openxmlformats.org/spreadsheetml/2006/main">
  <threadedComment ref="C14" dT="2024-08-08T15:35:58.98" personId="{FB754467-CA30-4363-AD02-C7DD5FEB2889}" id="{D45CFE4E-1F9F-4DBE-903E-698E42679576}">
    <text>https://www.imf.org/external/datamapper/NGDP_RPCH@WEO/OEMDC/ADVEC/WEOWORLD</text>
  </threadedComment>
</ThreadedComments>
</file>

<file path=xl/threadedComments/threadedComment5.xml><?xml version="1.0" encoding="utf-8"?>
<ThreadedComments xmlns="http://schemas.microsoft.com/office/spreadsheetml/2018/threadedcomments" xmlns:x="http://schemas.openxmlformats.org/spreadsheetml/2006/main">
  <threadedComment ref="I14" dT="2024-08-08T15:21:13.58" personId="{FB754467-CA30-4363-AD02-C7DD5FEB2889}" id="{F509C04D-20A5-4D46-A124-27725D3F5DE2}">
    <text>https://pages.stern.nyu.edu/~adamodar/New_Home_Page/datafile/ctryprem.html</text>
  </threadedComment>
  <threadedComment ref="I16" dT="2024-08-10T04:44:42.43" personId="{FB754467-CA30-4363-AD02-C7DD5FEB2889}" id="{C6EDF541-C75D-46FC-8DDD-E6F0C6C2CA12}">
    <text>Interest expense/average debt</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investor.colgatepalmolive.com/sec-filings?field_nir_sec_date_filed_value=2025&amp;filter_type=&amp;relative_date_range_after=&amp;relative_date_range_before=&amp;exact_date_range_after=&amp;exact_date_range_before=" TargetMode="External"/><Relationship Id="rId2" Type="http://schemas.openxmlformats.org/officeDocument/2006/relationships/hyperlink" Target="https://finance.yahoo.com/quote/CL/history/" TargetMode="External"/><Relationship Id="rId1" Type="http://schemas.openxmlformats.org/officeDocument/2006/relationships/hyperlink" Target="mailto:careers.cv101@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8.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9.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finance.yahoo.com/quote/CL/history/?period1=1565410851&amp;period2=1723263647" TargetMode="External"/><Relationship Id="rId1" Type="http://schemas.openxmlformats.org/officeDocument/2006/relationships/hyperlink" Target="https://finance.yahoo.com/quote/%5ESPX/history/?period1=1565410914&amp;period2=1723263704" TargetMode="External"/><Relationship Id="rId4"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1.bin"/><Relationship Id="rId1" Type="http://schemas.openxmlformats.org/officeDocument/2006/relationships/hyperlink" Target="https://home.treasury.gov/resource-center/data-chart-center/interest-rates/TextView?type=daily_treasury_yield_curve&amp;field_tdr_date_value=2024"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finance.yahoo.com/quote/PG/key-statistic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hyperlink" Target="https://finance.yahoo.com/quote/CLX/key-statistics/" TargetMode="External"/><Relationship Id="rId2" Type="http://schemas.openxmlformats.org/officeDocument/2006/relationships/hyperlink" Target="https://finance.yahoo.com/quote/KMB/key-statistics/" TargetMode="External"/><Relationship Id="rId1" Type="http://schemas.openxmlformats.org/officeDocument/2006/relationships/hyperlink" Target="https://finance.yahoo.com/quote/PG/key-statistics/" TargetMode="External"/><Relationship Id="rId6" Type="http://schemas.openxmlformats.org/officeDocument/2006/relationships/drawing" Target="../drawings/drawing20.xml"/><Relationship Id="rId5" Type="http://schemas.openxmlformats.org/officeDocument/2006/relationships/printerSettings" Target="../printerSettings/printerSettings23.bin"/><Relationship Id="rId4" Type="http://schemas.openxmlformats.org/officeDocument/2006/relationships/hyperlink" Target="https://finance.yahoo.com/quote/CL/key-statistics/"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968D-64B6-4F75-A178-81544C872650}">
  <dimension ref="B1:Q29"/>
  <sheetViews>
    <sheetView showGridLines="0" view="pageBreakPreview" topLeftCell="A7" zoomScale="80" zoomScaleNormal="100" zoomScaleSheetLayoutView="80" workbookViewId="0">
      <selection activeCell="J24" sqref="J24"/>
    </sheetView>
  </sheetViews>
  <sheetFormatPr defaultRowHeight="15" x14ac:dyDescent="0.25"/>
  <cols>
    <col min="1" max="1" width="1.85546875" customWidth="1"/>
    <col min="3" max="3" width="11.140625" customWidth="1"/>
    <col min="6" max="6" width="13.7109375" bestFit="1" customWidth="1"/>
    <col min="8" max="8" width="12.42578125" bestFit="1" customWidth="1"/>
    <col min="9" max="9" width="12.85546875" bestFit="1" customWidth="1"/>
    <col min="10" max="10" width="28.5703125" bestFit="1" customWidth="1"/>
    <col min="11" max="11" width="16.28515625" customWidth="1"/>
    <col min="12" max="12" width="34" customWidth="1"/>
    <col min="13" max="13" width="29.28515625" bestFit="1" customWidth="1"/>
    <col min="14" max="14" width="3" bestFit="1" customWidth="1"/>
    <col min="17" max="17" width="12.28515625" bestFit="1" customWidth="1"/>
  </cols>
  <sheetData>
    <row r="1" spans="2:17" x14ac:dyDescent="0.25">
      <c r="P1" s="96" t="s">
        <v>204</v>
      </c>
      <c r="Q1" s="557">
        <f>SUM('FS Summary'!P1,'Key Ratios'!Q1,BS!P1,CFS!P1)</f>
        <v>0</v>
      </c>
    </row>
    <row r="5" spans="2:17" ht="19.5" customHeight="1" x14ac:dyDescent="0.25"/>
    <row r="6" spans="2:17" ht="104.25" customHeight="1" x14ac:dyDescent="0.25"/>
    <row r="7" spans="2:17" ht="26.25" x14ac:dyDescent="0.4">
      <c r="B7" s="613" t="s">
        <v>51</v>
      </c>
    </row>
    <row r="8" spans="2:17" ht="5.45" customHeight="1" thickBot="1" x14ac:dyDescent="0.3">
      <c r="B8" s="31"/>
    </row>
    <row r="9" spans="2:17" ht="18.600000000000001" customHeight="1" thickTop="1" thickBot="1" x14ac:dyDescent="0.3">
      <c r="B9" s="635" t="s">
        <v>694</v>
      </c>
      <c r="C9" s="636"/>
      <c r="D9" s="636"/>
      <c r="E9" s="636"/>
      <c r="F9" s="636"/>
      <c r="G9" s="636"/>
      <c r="H9" s="636"/>
      <c r="I9" s="636"/>
      <c r="J9" s="636"/>
      <c r="K9" s="636"/>
      <c r="L9" s="42" t="s">
        <v>186</v>
      </c>
      <c r="M9" s="43" t="s">
        <v>47</v>
      </c>
    </row>
    <row r="10" spans="2:17" ht="16.5" thickTop="1" thickBot="1" x14ac:dyDescent="0.3">
      <c r="B10" s="636"/>
      <c r="C10" s="636"/>
      <c r="D10" s="636"/>
      <c r="E10" s="636"/>
      <c r="F10" s="636"/>
      <c r="G10" s="636"/>
      <c r="H10" s="636"/>
      <c r="I10" s="636"/>
      <c r="J10" s="636"/>
      <c r="K10" s="636"/>
      <c r="L10" s="42" t="s">
        <v>44</v>
      </c>
      <c r="M10" s="43" t="s">
        <v>48</v>
      </c>
    </row>
    <row r="11" spans="2:17" ht="16.5" thickTop="1" thickBot="1" x14ac:dyDescent="0.3">
      <c r="B11" s="636"/>
      <c r="C11" s="636"/>
      <c r="D11" s="636"/>
      <c r="E11" s="636"/>
      <c r="F11" s="636"/>
      <c r="G11" s="636"/>
      <c r="H11" s="636"/>
      <c r="I11" s="636"/>
      <c r="J11" s="636"/>
      <c r="K11" s="636"/>
      <c r="L11" s="42" t="s">
        <v>45</v>
      </c>
      <c r="M11" s="43" t="s">
        <v>49</v>
      </c>
    </row>
    <row r="12" spans="2:17" ht="16.5" thickTop="1" thickBot="1" x14ac:dyDescent="0.3">
      <c r="B12" s="636"/>
      <c r="C12" s="636"/>
      <c r="D12" s="636"/>
      <c r="E12" s="636"/>
      <c r="F12" s="636"/>
      <c r="G12" s="636"/>
      <c r="H12" s="636"/>
      <c r="I12" s="636"/>
      <c r="J12" s="636"/>
      <c r="K12" s="636"/>
      <c r="L12" s="42" t="s">
        <v>66</v>
      </c>
      <c r="M12" s="44" t="s">
        <v>50</v>
      </c>
    </row>
    <row r="13" spans="2:17" ht="16.5" thickTop="1" thickBot="1" x14ac:dyDescent="0.3">
      <c r="B13" s="636"/>
      <c r="C13" s="636"/>
      <c r="D13" s="636"/>
      <c r="E13" s="636"/>
      <c r="F13" s="636"/>
      <c r="G13" s="636"/>
      <c r="H13" s="636"/>
      <c r="I13" s="636"/>
      <c r="J13" s="636"/>
      <c r="K13" s="636"/>
      <c r="L13" s="42" t="s">
        <v>46</v>
      </c>
      <c r="M13" s="45">
        <v>45657</v>
      </c>
    </row>
    <row r="14" spans="2:17" ht="16.5" thickTop="1" thickBot="1" x14ac:dyDescent="0.3">
      <c r="B14" s="636"/>
      <c r="C14" s="636"/>
      <c r="D14" s="636"/>
      <c r="E14" s="636"/>
      <c r="F14" s="636"/>
      <c r="G14" s="636"/>
      <c r="H14" s="636"/>
      <c r="I14" s="636"/>
      <c r="J14" s="636"/>
      <c r="K14" s="636"/>
      <c r="L14" s="42" t="s">
        <v>693</v>
      </c>
      <c r="M14" s="45" t="s">
        <v>628</v>
      </c>
    </row>
    <row r="15" spans="2:17" ht="16.5" thickTop="1" thickBot="1" x14ac:dyDescent="0.3">
      <c r="B15" s="636"/>
      <c r="C15" s="636"/>
      <c r="D15" s="636"/>
      <c r="E15" s="636"/>
      <c r="F15" s="636"/>
      <c r="G15" s="636"/>
      <c r="H15" s="636"/>
      <c r="I15" s="636"/>
      <c r="J15" s="636"/>
      <c r="K15" s="636"/>
      <c r="L15" s="42" t="s">
        <v>629</v>
      </c>
      <c r="M15" s="523">
        <v>93</v>
      </c>
    </row>
    <row r="16" spans="2:17" ht="16.5" thickTop="1" thickBot="1" x14ac:dyDescent="0.3">
      <c r="B16" s="636"/>
      <c r="C16" s="636"/>
      <c r="D16" s="636"/>
      <c r="E16" s="636"/>
      <c r="F16" s="636"/>
      <c r="G16" s="636"/>
      <c r="H16" s="636"/>
      <c r="I16" s="636"/>
      <c r="J16" s="636"/>
      <c r="K16" s="636"/>
      <c r="L16" s="42" t="s">
        <v>638</v>
      </c>
      <c r="M16" s="523">
        <v>94.1</v>
      </c>
    </row>
    <row r="17" spans="2:13" ht="16.5" thickTop="1" thickBot="1" x14ac:dyDescent="0.3"/>
    <row r="18" spans="2:13" ht="16.5" thickTop="1" thickBot="1" x14ac:dyDescent="0.3">
      <c r="B18" s="637" t="s">
        <v>16</v>
      </c>
      <c r="C18" s="637"/>
      <c r="D18" s="637"/>
      <c r="F18" s="638" t="s">
        <v>52</v>
      </c>
      <c r="G18" s="638"/>
      <c r="H18" s="638"/>
      <c r="I18" s="638"/>
      <c r="J18" s="638"/>
      <c r="L18" s="632" t="s">
        <v>64</v>
      </c>
      <c r="M18" s="632"/>
    </row>
    <row r="19" spans="2:13" ht="16.5" thickTop="1" thickBot="1" x14ac:dyDescent="0.3">
      <c r="B19" s="46">
        <v>1234</v>
      </c>
      <c r="C19" s="47" t="s">
        <v>17</v>
      </c>
      <c r="D19" s="48"/>
      <c r="F19" s="52" t="s">
        <v>117</v>
      </c>
      <c r="G19" s="52" t="s">
        <v>53</v>
      </c>
      <c r="H19" s="52" t="s">
        <v>54</v>
      </c>
      <c r="I19" s="52" t="s">
        <v>55</v>
      </c>
      <c r="J19" s="52" t="s">
        <v>56</v>
      </c>
      <c r="L19" s="52" t="s">
        <v>62</v>
      </c>
      <c r="M19" s="52" t="s">
        <v>630</v>
      </c>
    </row>
    <row r="20" spans="2:13" ht="16.5" thickTop="1" thickBot="1" x14ac:dyDescent="0.3">
      <c r="B20" s="49">
        <v>1234</v>
      </c>
      <c r="C20" s="50" t="s">
        <v>18</v>
      </c>
      <c r="D20" s="48"/>
      <c r="F20" s="48" t="s">
        <v>631</v>
      </c>
      <c r="G20" s="48" t="s">
        <v>61</v>
      </c>
      <c r="H20" s="111">
        <v>45730</v>
      </c>
      <c r="I20" s="112">
        <v>0.26805555555555555</v>
      </c>
      <c r="J20" s="48" t="s">
        <v>620</v>
      </c>
      <c r="L20" s="52" t="s">
        <v>63</v>
      </c>
      <c r="M20" s="580" t="s">
        <v>632</v>
      </c>
    </row>
    <row r="21" spans="2:13" ht="16.5" thickTop="1" thickBot="1" x14ac:dyDescent="0.3">
      <c r="B21" s="51">
        <v>1234</v>
      </c>
      <c r="C21" s="633" t="s">
        <v>19</v>
      </c>
      <c r="D21" s="634"/>
      <c r="F21" s="48" t="s">
        <v>631</v>
      </c>
      <c r="G21" s="48" t="s">
        <v>241</v>
      </c>
      <c r="H21" s="111">
        <v>45782</v>
      </c>
      <c r="I21" s="112">
        <v>0.65902777777777777</v>
      </c>
      <c r="J21" s="48" t="s">
        <v>242</v>
      </c>
      <c r="L21" s="52"/>
      <c r="M21" s="54"/>
    </row>
    <row r="22" spans="2:13" ht="16.5" thickTop="1" thickBot="1" x14ac:dyDescent="0.3">
      <c r="B22" s="51" t="s">
        <v>57</v>
      </c>
      <c r="C22" s="633" t="s">
        <v>58</v>
      </c>
      <c r="D22" s="634"/>
      <c r="F22" s="48" t="s">
        <v>631</v>
      </c>
      <c r="G22" s="48" t="s">
        <v>617</v>
      </c>
      <c r="H22" s="111">
        <v>45716</v>
      </c>
      <c r="I22" s="112">
        <v>0.94791666666666663</v>
      </c>
      <c r="J22" s="48" t="s">
        <v>619</v>
      </c>
    </row>
    <row r="23" spans="2:13" ht="16.5" thickTop="1" thickBot="1" x14ac:dyDescent="0.3">
      <c r="B23" s="51" t="s">
        <v>59</v>
      </c>
      <c r="C23" s="633" t="s">
        <v>60</v>
      </c>
      <c r="D23" s="634"/>
      <c r="F23" s="48" t="s">
        <v>631</v>
      </c>
      <c r="G23" s="48" t="s">
        <v>618</v>
      </c>
      <c r="H23" s="111">
        <v>45715</v>
      </c>
      <c r="I23" s="112">
        <v>0.82291666666666663</v>
      </c>
      <c r="J23" s="48" t="s">
        <v>695</v>
      </c>
    </row>
    <row r="24" spans="2:13" ht="15.75" thickTop="1" x14ac:dyDescent="0.25"/>
    <row r="25" spans="2:13" x14ac:dyDescent="0.25">
      <c r="B25" s="55" t="s">
        <v>65</v>
      </c>
    </row>
    <row r="27" spans="2:13" x14ac:dyDescent="0.25">
      <c r="B27" s="23" t="s">
        <v>22</v>
      </c>
    </row>
    <row r="28" spans="2:13" x14ac:dyDescent="0.25">
      <c r="B28" s="53" t="s">
        <v>633</v>
      </c>
    </row>
    <row r="29" spans="2:13" x14ac:dyDescent="0.25">
      <c r="B29" s="53" t="s">
        <v>187</v>
      </c>
    </row>
  </sheetData>
  <mergeCells count="7">
    <mergeCell ref="L18:M18"/>
    <mergeCell ref="C23:D23"/>
    <mergeCell ref="C21:D21"/>
    <mergeCell ref="C22:D22"/>
    <mergeCell ref="B9:K16"/>
    <mergeCell ref="B18:D18"/>
    <mergeCell ref="F18:J18"/>
  </mergeCells>
  <hyperlinks>
    <hyperlink ref="M20" r:id="rId1" xr:uid="{1F22ED94-176B-42AE-BE9E-C4D3247035C0}"/>
    <hyperlink ref="B29" r:id="rId2" display="2. Sourced from yahoo finance." xr:uid="{AB7BEC62-19E9-4A52-8B07-D292F9815820}"/>
    <hyperlink ref="B28" r:id="rId3" location="views-exposed-form-widget-sec-filings-table" display="1. Sourced from FY 2025 10K filed by the Company." xr:uid="{048E7E02-7C7D-45EF-A688-ACB4925E347B}"/>
  </hyperlinks>
  <pageMargins left="0.70866141732283472" right="0.70866141732283472" top="0.74803149606299213" bottom="0.74803149606299213" header="0.31496062992125984" footer="0.31496062992125984"/>
  <pageSetup scale="52"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2532-E069-4F65-BB4A-78FFB16A83C2}">
  <sheetPr>
    <tabColor theme="0"/>
  </sheetPr>
  <dimension ref="A1:U60"/>
  <sheetViews>
    <sheetView showGridLines="0" view="pageBreakPreview" zoomScale="80" zoomScaleNormal="80" zoomScaleSheetLayoutView="80" workbookViewId="0">
      <pane xSplit="2" ySplit="10" topLeftCell="C41" activePane="bottomRight" state="frozen"/>
      <selection pane="topRight"/>
      <selection pane="bottomLeft"/>
      <selection pane="bottomRight" activeCell="A7" sqref="A7"/>
    </sheetView>
  </sheetViews>
  <sheetFormatPr defaultRowHeight="15" outlineLevelRow="2" x14ac:dyDescent="0.25"/>
  <cols>
    <col min="1" max="1" width="3.5703125" bestFit="1" customWidth="1"/>
    <col min="2" max="2" width="49.85546875" customWidth="1"/>
    <col min="3" max="7" width="9.7109375" bestFit="1" customWidth="1"/>
    <col min="13" max="13" width="4" bestFit="1" customWidth="1"/>
  </cols>
  <sheetData>
    <row r="1" spans="1:17" x14ac:dyDescent="0.25">
      <c r="P1" s="8"/>
      <c r="Q1" s="156"/>
    </row>
    <row r="7" spans="1:17" x14ac:dyDescent="0.25">
      <c r="A7" s="31"/>
    </row>
    <row r="8" spans="1:17" x14ac:dyDescent="0.25">
      <c r="A8" s="31"/>
    </row>
    <row r="9" spans="1:17" ht="18" thickBot="1" x14ac:dyDescent="0.3">
      <c r="B9" s="24" t="s">
        <v>20</v>
      </c>
      <c r="C9" s="224" t="s">
        <v>21</v>
      </c>
      <c r="D9" s="225"/>
      <c r="E9" s="225"/>
      <c r="F9" s="225"/>
      <c r="G9" s="225"/>
      <c r="H9" s="224" t="s">
        <v>67</v>
      </c>
      <c r="I9" s="225"/>
      <c r="J9" s="225"/>
      <c r="K9" s="225"/>
      <c r="L9" s="225"/>
    </row>
    <row r="10" spans="1:17" ht="16.5" thickTop="1" thickBot="1" x14ac:dyDescent="0.3">
      <c r="B10" s="204"/>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row>
    <row r="11" spans="1:17" ht="15.75" thickTop="1" x14ac:dyDescent="0.25">
      <c r="A11" s="81" t="s">
        <v>57</v>
      </c>
      <c r="B11" s="26" t="s">
        <v>27</v>
      </c>
      <c r="C11" s="122"/>
      <c r="D11" s="123"/>
      <c r="E11" s="123"/>
      <c r="F11" s="123"/>
      <c r="G11" s="123"/>
      <c r="H11" s="123"/>
      <c r="I11" s="123"/>
      <c r="J11" s="123"/>
      <c r="K11" s="123"/>
      <c r="L11" s="185"/>
    </row>
    <row r="12" spans="1:17" ht="15.75" outlineLevel="1" thickBot="1" x14ac:dyDescent="0.3">
      <c r="A12" s="81"/>
      <c r="B12" s="1" t="s">
        <v>28</v>
      </c>
      <c r="C12" s="1"/>
      <c r="E12" s="1"/>
      <c r="H12" s="32"/>
      <c r="I12" s="32"/>
      <c r="J12" s="32"/>
      <c r="K12" s="32"/>
      <c r="L12" s="32"/>
    </row>
    <row r="13" spans="1:17" ht="16.5" outlineLevel="2" thickTop="1" thickBot="1" x14ac:dyDescent="0.3">
      <c r="A13" s="81"/>
      <c r="B13" s="219" t="s">
        <v>290</v>
      </c>
      <c r="C13" s="39">
        <v>888</v>
      </c>
      <c r="D13" s="39">
        <v>832</v>
      </c>
      <c r="E13" s="39">
        <v>775</v>
      </c>
      <c r="F13" s="39">
        <v>966</v>
      </c>
      <c r="G13" s="39">
        <v>1096</v>
      </c>
      <c r="H13" s="165">
        <f>CFS!H55</f>
        <v>410.96205964594174</v>
      </c>
      <c r="I13" s="165">
        <f>CFS!I55</f>
        <v>100.00000000000045</v>
      </c>
      <c r="J13" s="165">
        <f>CFS!J55</f>
        <v>100.00000000000045</v>
      </c>
      <c r="K13" s="165">
        <f>CFS!K55</f>
        <v>100.00000000000045</v>
      </c>
      <c r="L13" s="165">
        <f>CFS!L55</f>
        <v>100.00000000000045</v>
      </c>
      <c r="N13" t="s">
        <v>403</v>
      </c>
      <c r="O13" t="s">
        <v>237</v>
      </c>
    </row>
    <row r="14" spans="1:17" ht="30.6" customHeight="1" outlineLevel="2" thickTop="1" thickBot="1" x14ac:dyDescent="0.3">
      <c r="A14" s="81"/>
      <c r="B14" s="220" t="s">
        <v>291</v>
      </c>
      <c r="C14" s="39">
        <v>1264</v>
      </c>
      <c r="D14" s="39">
        <v>1297</v>
      </c>
      <c r="E14" s="39">
        <v>1504</v>
      </c>
      <c r="F14" s="39">
        <v>1586</v>
      </c>
      <c r="G14" s="39">
        <v>1521</v>
      </c>
      <c r="H14" s="165">
        <f>'BS Assumptions '!H12</f>
        <v>1696.5890205620406</v>
      </c>
      <c r="I14" s="165">
        <f>'BS Assumptions '!I12</f>
        <v>1841.8880734928896</v>
      </c>
      <c r="J14" s="165">
        <f>'BS Assumptions '!J12</f>
        <v>2020.7112981948856</v>
      </c>
      <c r="K14" s="165">
        <f>'BS Assumptions '!K12</f>
        <v>2183.6898030927687</v>
      </c>
      <c r="L14" s="165">
        <f>'BS Assumptions '!L12</f>
        <v>2383.2857304196214</v>
      </c>
      <c r="N14" t="s">
        <v>403</v>
      </c>
      <c r="O14" s="32"/>
      <c r="P14" s="32"/>
      <c r="Q14" s="32"/>
    </row>
    <row r="15" spans="1:17" ht="16.5" outlineLevel="2" thickTop="1" thickBot="1" x14ac:dyDescent="0.3">
      <c r="A15" s="81"/>
      <c r="B15" s="219" t="s">
        <v>13</v>
      </c>
      <c r="C15" s="39">
        <v>1673</v>
      </c>
      <c r="D15" s="39">
        <v>1692</v>
      </c>
      <c r="E15" s="39">
        <v>2074</v>
      </c>
      <c r="F15" s="39">
        <v>1934</v>
      </c>
      <c r="G15" s="39">
        <v>1987</v>
      </c>
      <c r="H15" s="165">
        <f>'BS Assumptions '!H14</f>
        <v>2216.4105226973561</v>
      </c>
      <c r="I15" s="165">
        <f>'BS Assumptions '!I14</f>
        <v>2399.3454459954633</v>
      </c>
      <c r="J15" s="165">
        <f>'BS Assumptions '!J14</f>
        <v>2631.9504600789992</v>
      </c>
      <c r="K15" s="165">
        <f>'BS Assumptions '!K14</f>
        <v>2810.7140685442751</v>
      </c>
      <c r="L15" s="165">
        <f>'BS Assumptions '!L14</f>
        <v>3100.5648023086669</v>
      </c>
      <c r="N15" t="s">
        <v>403</v>
      </c>
      <c r="O15" s="32"/>
    </row>
    <row r="16" spans="1:17" ht="15.75" outlineLevel="2" thickTop="1" x14ac:dyDescent="0.25">
      <c r="A16" s="81"/>
      <c r="B16" s="221" t="s">
        <v>292</v>
      </c>
      <c r="C16" s="40">
        <v>513</v>
      </c>
      <c r="D16" s="40">
        <v>576</v>
      </c>
      <c r="E16" s="40">
        <v>760</v>
      </c>
      <c r="F16" s="40">
        <v>793</v>
      </c>
      <c r="G16" s="40">
        <v>713</v>
      </c>
      <c r="H16" s="166">
        <f>'BS Assumptions '!H16</f>
        <v>790.72513046977235</v>
      </c>
      <c r="I16" s="166">
        <f>'BS Assumptions '!I16</f>
        <v>880.05923548649844</v>
      </c>
      <c r="J16" s="166">
        <f>'BS Assumptions '!J16</f>
        <v>978.23849710759703</v>
      </c>
      <c r="K16" s="166">
        <f>'BS Assumptions '!K16</f>
        <v>1047.2946359931518</v>
      </c>
      <c r="L16" s="166">
        <f>'BS Assumptions '!L16</f>
        <v>1132.8903078035012</v>
      </c>
      <c r="N16" t="s">
        <v>403</v>
      </c>
      <c r="O16" t="s">
        <v>233</v>
      </c>
    </row>
    <row r="17" spans="1:18" ht="15.75" outlineLevel="2" thickBot="1" x14ac:dyDescent="0.3">
      <c r="A17" s="81"/>
      <c r="B17" s="130" t="s">
        <v>25</v>
      </c>
      <c r="C17" s="131">
        <f>SUM(C13:C16)</f>
        <v>4338</v>
      </c>
      <c r="D17" s="131">
        <f>SUM(D13:D16)</f>
        <v>4397</v>
      </c>
      <c r="E17" s="131">
        <f>SUM(E13:E16)</f>
        <v>5113</v>
      </c>
      <c r="F17" s="131">
        <f>SUM(F13:F16)</f>
        <v>5279</v>
      </c>
      <c r="G17" s="131">
        <f>SUM(G13:G16)</f>
        <v>5317</v>
      </c>
      <c r="H17" s="131">
        <f t="shared" ref="H17:L17" si="1">SUM(H13:H16)</f>
        <v>5114.6867333751106</v>
      </c>
      <c r="I17" s="131">
        <f t="shared" si="1"/>
        <v>5221.292754974852</v>
      </c>
      <c r="J17" s="131">
        <f t="shared" si="1"/>
        <v>5730.9002553814826</v>
      </c>
      <c r="K17" s="131">
        <f t="shared" si="1"/>
        <v>6141.6985076301962</v>
      </c>
      <c r="L17" s="131">
        <f t="shared" si="1"/>
        <v>6716.7408405317901</v>
      </c>
    </row>
    <row r="18" spans="1:18" ht="16.5" outlineLevel="1" thickTop="1" thickBot="1" x14ac:dyDescent="0.3">
      <c r="A18" s="81"/>
      <c r="B18" s="1" t="s">
        <v>29</v>
      </c>
      <c r="C18" s="34"/>
      <c r="D18" s="34"/>
      <c r="E18" s="34"/>
      <c r="F18" s="34"/>
      <c r="G18" s="34"/>
      <c r="H18" s="34"/>
      <c r="I18" s="34"/>
      <c r="J18" s="34"/>
      <c r="K18" s="34"/>
      <c r="L18" s="34"/>
      <c r="O18" s="32"/>
      <c r="P18" s="32"/>
      <c r="Q18" s="32"/>
      <c r="R18" s="32"/>
    </row>
    <row r="19" spans="1:18" ht="16.5" outlineLevel="2" thickTop="1" thickBot="1" x14ac:dyDescent="0.3">
      <c r="A19" s="81"/>
      <c r="B19" s="217" t="s">
        <v>293</v>
      </c>
      <c r="C19" s="39">
        <v>3716</v>
      </c>
      <c r="D19" s="39">
        <v>3730</v>
      </c>
      <c r="E19" s="39">
        <v>4307</v>
      </c>
      <c r="F19" s="39">
        <v>4582</v>
      </c>
      <c r="G19" s="39">
        <v>4422</v>
      </c>
      <c r="H19" s="165">
        <f>'BS Assumptions '!H33</f>
        <v>4937.8731999025649</v>
      </c>
      <c r="I19" s="165">
        <f>'BS Assumptions '!I33</f>
        <v>5350.3783418507292</v>
      </c>
      <c r="J19" s="165">
        <f>'BS Assumptions '!J33</f>
        <v>5886.9687025167877</v>
      </c>
      <c r="K19" s="165">
        <f>'BS Assumptions '!K33</f>
        <v>6386.4692602688219</v>
      </c>
      <c r="L19" s="165">
        <f>'BS Assumptions '!L33</f>
        <v>6988.6765201175585</v>
      </c>
    </row>
    <row r="20" spans="1:18" ht="16.5" outlineLevel="2" thickTop="1" thickBot="1" x14ac:dyDescent="0.3">
      <c r="A20" s="81"/>
      <c r="B20" s="217" t="s">
        <v>14</v>
      </c>
      <c r="C20" s="39">
        <v>3824</v>
      </c>
      <c r="D20" s="39">
        <v>3284</v>
      </c>
      <c r="E20" s="39">
        <v>3352</v>
      </c>
      <c r="F20" s="39">
        <v>3410</v>
      </c>
      <c r="G20" s="39">
        <v>3272</v>
      </c>
      <c r="H20" s="181">
        <f>$G$20</f>
        <v>3272</v>
      </c>
      <c r="I20" s="181">
        <f t="shared" ref="I20:L20" si="2">$G$20</f>
        <v>3272</v>
      </c>
      <c r="J20" s="181">
        <f t="shared" si="2"/>
        <v>3272</v>
      </c>
      <c r="K20" s="181">
        <f t="shared" si="2"/>
        <v>3272</v>
      </c>
      <c r="L20" s="181">
        <f t="shared" si="2"/>
        <v>3272</v>
      </c>
      <c r="O20" t="s">
        <v>229</v>
      </c>
    </row>
    <row r="21" spans="1:18" ht="16.5" outlineLevel="2" thickTop="1" thickBot="1" x14ac:dyDescent="0.3">
      <c r="A21" s="81"/>
      <c r="B21" s="217" t="s">
        <v>294</v>
      </c>
      <c r="C21" s="39">
        <v>2894</v>
      </c>
      <c r="D21" s="39">
        <v>2462</v>
      </c>
      <c r="E21" s="39">
        <v>1920</v>
      </c>
      <c r="F21" s="39">
        <v>1887</v>
      </c>
      <c r="G21" s="39">
        <v>1756</v>
      </c>
      <c r="H21" s="165">
        <f>'BS Assumptions '!H47</f>
        <v>1887</v>
      </c>
      <c r="I21" s="165">
        <f>'BS Assumptions '!I47</f>
        <v>1887</v>
      </c>
      <c r="J21" s="165">
        <f>'BS Assumptions '!J47</f>
        <v>1887</v>
      </c>
      <c r="K21" s="165">
        <f>'BS Assumptions '!K47</f>
        <v>1887</v>
      </c>
      <c r="L21" s="165">
        <f>'BS Assumptions '!L47</f>
        <v>1887</v>
      </c>
    </row>
    <row r="22" spans="1:18" ht="16.5" outlineLevel="2" thickTop="1" thickBot="1" x14ac:dyDescent="0.3">
      <c r="A22" s="81"/>
      <c r="B22" s="217" t="s">
        <v>295</v>
      </c>
      <c r="C22" s="39">
        <v>291</v>
      </c>
      <c r="D22" s="39">
        <v>193</v>
      </c>
      <c r="E22" s="39">
        <v>135</v>
      </c>
      <c r="F22" s="39">
        <v>214</v>
      </c>
      <c r="G22" s="39">
        <v>195</v>
      </c>
      <c r="H22" s="267">
        <f>'BS Assumptions '!H55</f>
        <v>264.34172385606274</v>
      </c>
      <c r="I22" s="267">
        <f>'BS Assumptions '!I55</f>
        <v>257.3306401314627</v>
      </c>
      <c r="J22" s="267">
        <f>'BS Assumptions '!J55</f>
        <v>270.77480118849343</v>
      </c>
      <c r="K22" s="267">
        <f>'BS Assumptions '!K55</f>
        <v>306.28222564610229</v>
      </c>
      <c r="L22" s="267">
        <f>'BS Assumptions '!L55</f>
        <v>344.62370258574225</v>
      </c>
      <c r="O22" s="32"/>
    </row>
    <row r="23" spans="1:18" ht="15.75" outlineLevel="2" thickTop="1" x14ac:dyDescent="0.25">
      <c r="A23" s="81"/>
      <c r="B23" s="218" t="s">
        <v>296</v>
      </c>
      <c r="C23" s="40">
        <v>857</v>
      </c>
      <c r="D23" s="40">
        <v>974</v>
      </c>
      <c r="E23" s="40">
        <v>904</v>
      </c>
      <c r="F23" s="40">
        <v>1021</v>
      </c>
      <c r="G23" s="40">
        <v>1084</v>
      </c>
      <c r="H23" s="268">
        <f>'BS Assumptions '!H72</f>
        <v>1145.2076345349794</v>
      </c>
      <c r="I23" s="268">
        <f>'BS Assumptions '!I72</f>
        <v>1242.2082883962967</v>
      </c>
      <c r="J23" s="268">
        <f>'BS Assumptions '!J72</f>
        <v>1333.8817812464445</v>
      </c>
      <c r="K23" s="268">
        <f>'BS Assumptions '!K72</f>
        <v>1468.859418188734</v>
      </c>
      <c r="L23" s="268">
        <f>'BS Assumptions '!L72</f>
        <v>1617.4640948885972</v>
      </c>
      <c r="N23" t="s">
        <v>403</v>
      </c>
    </row>
    <row r="24" spans="1:18" ht="15.75" outlineLevel="2" thickBot="1" x14ac:dyDescent="0.3">
      <c r="A24" s="81"/>
      <c r="B24" s="130" t="s">
        <v>26</v>
      </c>
      <c r="C24" s="131">
        <f t="shared" ref="C24:L24" si="3">SUM(C19:C23)</f>
        <v>11582</v>
      </c>
      <c r="D24" s="131">
        <f t="shared" si="3"/>
        <v>10643</v>
      </c>
      <c r="E24" s="131">
        <f t="shared" si="3"/>
        <v>10618</v>
      </c>
      <c r="F24" s="131">
        <f t="shared" si="3"/>
        <v>11114</v>
      </c>
      <c r="G24" s="131">
        <f t="shared" si="3"/>
        <v>10729</v>
      </c>
      <c r="H24" s="131">
        <f t="shared" si="3"/>
        <v>11506.422558293609</v>
      </c>
      <c r="I24" s="131">
        <f t="shared" si="3"/>
        <v>12008.91727037849</v>
      </c>
      <c r="J24" s="131">
        <f t="shared" si="3"/>
        <v>12650.625284951726</v>
      </c>
      <c r="K24" s="131">
        <f t="shared" si="3"/>
        <v>13320.61090410366</v>
      </c>
      <c r="L24" s="131">
        <f t="shared" si="3"/>
        <v>14109.764317591898</v>
      </c>
    </row>
    <row r="25" spans="1:18" ht="5.45" customHeight="1" outlineLevel="2" thickTop="1" x14ac:dyDescent="0.25">
      <c r="A25" s="81"/>
      <c r="B25" s="1"/>
      <c r="C25" s="32"/>
      <c r="D25" s="32"/>
      <c r="E25" s="33"/>
      <c r="F25" s="33"/>
      <c r="G25" s="33"/>
      <c r="H25" s="32"/>
      <c r="I25" s="32"/>
      <c r="J25" s="33"/>
      <c r="K25" s="33"/>
      <c r="L25" s="33"/>
    </row>
    <row r="26" spans="1:18" outlineLevel="2" x14ac:dyDescent="0.25">
      <c r="A26" s="81"/>
      <c r="B26" s="132" t="s">
        <v>24</v>
      </c>
      <c r="C26" s="133">
        <f t="shared" ref="C26:L26" si="4">C24+C17</f>
        <v>15920</v>
      </c>
      <c r="D26" s="133">
        <f t="shared" si="4"/>
        <v>15040</v>
      </c>
      <c r="E26" s="133">
        <f t="shared" si="4"/>
        <v>15731</v>
      </c>
      <c r="F26" s="133">
        <f t="shared" si="4"/>
        <v>16393</v>
      </c>
      <c r="G26" s="133">
        <f t="shared" si="4"/>
        <v>16046</v>
      </c>
      <c r="H26" s="133">
        <f t="shared" si="4"/>
        <v>16621.109291668719</v>
      </c>
      <c r="I26" s="133">
        <f t="shared" si="4"/>
        <v>17230.210025353343</v>
      </c>
      <c r="J26" s="133">
        <f t="shared" si="4"/>
        <v>18381.525540333208</v>
      </c>
      <c r="K26" s="133">
        <f t="shared" si="4"/>
        <v>19462.309411733855</v>
      </c>
      <c r="L26" s="133">
        <f t="shared" si="4"/>
        <v>20826.505158123688</v>
      </c>
    </row>
    <row r="27" spans="1:18" ht="15.75" thickBot="1" x14ac:dyDescent="0.3">
      <c r="A27" s="81"/>
      <c r="B27" s="1"/>
      <c r="C27" s="32"/>
      <c r="D27" s="32"/>
      <c r="E27" s="33"/>
      <c r="F27" s="33"/>
      <c r="G27" s="33"/>
      <c r="H27" s="32"/>
      <c r="I27" s="32"/>
      <c r="J27" s="33"/>
      <c r="K27" s="33"/>
      <c r="L27" s="33"/>
    </row>
    <row r="28" spans="1:18" ht="15.75" thickTop="1" x14ac:dyDescent="0.25">
      <c r="A28" s="81" t="s">
        <v>118</v>
      </c>
      <c r="B28" s="26" t="s">
        <v>30</v>
      </c>
      <c r="C28" s="122"/>
      <c r="D28" s="123"/>
      <c r="E28" s="123"/>
      <c r="F28" s="123"/>
      <c r="G28" s="123"/>
      <c r="H28" s="123"/>
      <c r="I28" s="123"/>
      <c r="J28" s="123"/>
      <c r="K28" s="123"/>
      <c r="L28" s="185"/>
    </row>
    <row r="29" spans="1:18" ht="15.75" outlineLevel="1" thickBot="1" x14ac:dyDescent="0.3">
      <c r="B29" s="1" t="s">
        <v>33</v>
      </c>
      <c r="C29" s="33"/>
      <c r="D29" s="33"/>
      <c r="E29" s="33"/>
      <c r="F29" s="33"/>
      <c r="G29" s="33"/>
      <c r="H29" s="33"/>
      <c r="I29" s="33"/>
      <c r="J29" s="33"/>
      <c r="K29" s="33"/>
      <c r="L29" s="33"/>
    </row>
    <row r="30" spans="1:18" ht="16.5" outlineLevel="2" thickTop="1" thickBot="1" x14ac:dyDescent="0.3">
      <c r="B30" s="217" t="s">
        <v>297</v>
      </c>
      <c r="C30" s="39">
        <v>258</v>
      </c>
      <c r="D30" s="39">
        <v>39</v>
      </c>
      <c r="E30" s="39">
        <v>11</v>
      </c>
      <c r="F30" s="39">
        <v>310</v>
      </c>
      <c r="G30" s="39">
        <v>630</v>
      </c>
      <c r="H30" s="267">
        <f>$G$30</f>
        <v>630</v>
      </c>
      <c r="I30" s="267">
        <f t="shared" ref="I30:L30" si="5">$G$30</f>
        <v>630</v>
      </c>
      <c r="J30" s="267">
        <f t="shared" si="5"/>
        <v>630</v>
      </c>
      <c r="K30" s="267">
        <f t="shared" si="5"/>
        <v>630</v>
      </c>
      <c r="L30" s="267">
        <f t="shared" si="5"/>
        <v>630</v>
      </c>
      <c r="O30" t="s">
        <v>234</v>
      </c>
    </row>
    <row r="31" spans="1:18" ht="16.5" outlineLevel="2" thickTop="1" thickBot="1" x14ac:dyDescent="0.3">
      <c r="B31" s="217" t="s">
        <v>298</v>
      </c>
      <c r="C31" s="39">
        <v>9</v>
      </c>
      <c r="D31" s="39">
        <v>12</v>
      </c>
      <c r="E31" s="39">
        <v>14</v>
      </c>
      <c r="F31" s="39">
        <v>20</v>
      </c>
      <c r="G31" s="39">
        <v>30</v>
      </c>
      <c r="H31" s="267">
        <f>G31</f>
        <v>30</v>
      </c>
      <c r="I31" s="267">
        <f t="shared" ref="I31:L31" si="6">H31</f>
        <v>30</v>
      </c>
      <c r="J31" s="267">
        <f t="shared" si="6"/>
        <v>30</v>
      </c>
      <c r="K31" s="267">
        <f t="shared" si="6"/>
        <v>30</v>
      </c>
      <c r="L31" s="267">
        <f t="shared" si="6"/>
        <v>30</v>
      </c>
      <c r="O31" t="s">
        <v>234</v>
      </c>
      <c r="P31" s="32"/>
    </row>
    <row r="32" spans="1:18" ht="16.5" outlineLevel="2" thickTop="1" thickBot="1" x14ac:dyDescent="0.3">
      <c r="B32" s="217" t="s">
        <v>299</v>
      </c>
      <c r="C32" s="39">
        <v>1393</v>
      </c>
      <c r="D32" s="39">
        <v>1479</v>
      </c>
      <c r="E32" s="39">
        <v>1551</v>
      </c>
      <c r="F32" s="39">
        <v>1698</v>
      </c>
      <c r="G32" s="39">
        <v>1805</v>
      </c>
      <c r="H32" s="165">
        <f>'BS Assumptions '!H18</f>
        <v>1875.3156967934112</v>
      </c>
      <c r="I32" s="165">
        <f>'BS Assumptions '!I18</f>
        <v>2036.8093337813675</v>
      </c>
      <c r="J32" s="165">
        <f>'BS Assumptions '!J18</f>
        <v>2221.5984008275977</v>
      </c>
      <c r="K32" s="165">
        <f>'BS Assumptions '!K18</f>
        <v>2431.0915217638722</v>
      </c>
      <c r="L32" s="165">
        <f>'BS Assumptions '!L18</f>
        <v>2674.1078683156638</v>
      </c>
      <c r="N32" t="s">
        <v>403</v>
      </c>
    </row>
    <row r="33" spans="2:21" ht="16.5" outlineLevel="2" thickTop="1" thickBot="1" x14ac:dyDescent="0.3">
      <c r="B33" s="217" t="s">
        <v>300</v>
      </c>
      <c r="C33" s="39">
        <v>403</v>
      </c>
      <c r="D33" s="39">
        <v>436</v>
      </c>
      <c r="E33" s="39">
        <v>317</v>
      </c>
      <c r="F33" s="39">
        <v>336</v>
      </c>
      <c r="G33" s="39">
        <v>403</v>
      </c>
      <c r="H33" s="267">
        <f>'BS Assumptions '!H67</f>
        <v>491.77279448968898</v>
      </c>
      <c r="I33" s="267">
        <f>'BS Assumptions '!I67</f>
        <v>518.10573662074944</v>
      </c>
      <c r="J33" s="267">
        <f>'BS Assumptions '!J67</f>
        <v>529.88397523219987</v>
      </c>
      <c r="K33" s="267">
        <f>'BS Assumptions '!K67</f>
        <v>579.08020455469352</v>
      </c>
      <c r="L33" s="267">
        <f>'BS Assumptions '!L67</f>
        <v>673.46992981655387</v>
      </c>
    </row>
    <row r="34" spans="2:21" ht="15.75" outlineLevel="2" thickTop="1" x14ac:dyDescent="0.25">
      <c r="B34" s="218" t="s">
        <v>301</v>
      </c>
      <c r="C34" s="40">
        <v>2341</v>
      </c>
      <c r="D34" s="40">
        <v>2085</v>
      </c>
      <c r="E34" s="40">
        <v>2111</v>
      </c>
      <c r="F34" s="40">
        <v>2377</v>
      </c>
      <c r="G34" s="40">
        <v>2891</v>
      </c>
      <c r="H34" s="166">
        <f>'BS Assumptions '!H20</f>
        <v>2802.9271901111956</v>
      </c>
      <c r="I34" s="166">
        <f>'BS Assumptions '!I20</f>
        <v>2967.1712890473327</v>
      </c>
      <c r="J34" s="166">
        <f>'BS Assumptions '!J20</f>
        <v>3257.0300233931689</v>
      </c>
      <c r="K34" s="166">
        <f>'BS Assumptions '!K20</f>
        <v>3611.9742225728182</v>
      </c>
      <c r="L34" s="166">
        <f>'BS Assumptions '!L20</f>
        <v>4017.4819628902692</v>
      </c>
      <c r="N34" t="s">
        <v>403</v>
      </c>
    </row>
    <row r="35" spans="2:21" ht="15.75" outlineLevel="2" thickBot="1" x14ac:dyDescent="0.3">
      <c r="B35" s="130" t="s">
        <v>79</v>
      </c>
      <c r="C35" s="131">
        <f>SUM(C30:C34)</f>
        <v>4404</v>
      </c>
      <c r="D35" s="131">
        <f>SUM(D30:D34)</f>
        <v>4051</v>
      </c>
      <c r="E35" s="131">
        <f>SUM(E30:E34)</f>
        <v>4004</v>
      </c>
      <c r="F35" s="131">
        <f>SUM(F30:F34)</f>
        <v>4741</v>
      </c>
      <c r="G35" s="131">
        <f>SUM(G30:G34)</f>
        <v>5759</v>
      </c>
      <c r="H35" s="131">
        <f t="shared" ref="H35:L35" si="7">SUM(H30:H34)</f>
        <v>5830.0156813942958</v>
      </c>
      <c r="I35" s="131">
        <f t="shared" si="7"/>
        <v>6182.0863594494494</v>
      </c>
      <c r="J35" s="131">
        <f t="shared" si="7"/>
        <v>6668.5123994529658</v>
      </c>
      <c r="K35" s="131">
        <f t="shared" si="7"/>
        <v>7282.1459488913843</v>
      </c>
      <c r="L35" s="131">
        <f t="shared" si="7"/>
        <v>8025.0597610224868</v>
      </c>
    </row>
    <row r="36" spans="2:21" ht="16.5" outlineLevel="1" thickTop="1" thickBot="1" x14ac:dyDescent="0.3">
      <c r="B36" s="1" t="s">
        <v>235</v>
      </c>
      <c r="C36" s="33"/>
      <c r="D36" s="33"/>
      <c r="E36" s="33"/>
      <c r="F36" s="33"/>
      <c r="G36" s="33"/>
      <c r="H36" s="33"/>
      <c r="I36" s="33"/>
      <c r="J36" s="33"/>
      <c r="K36" s="33"/>
      <c r="L36" s="33"/>
    </row>
    <row r="37" spans="2:21" ht="16.5" outlineLevel="2" thickTop="1" thickBot="1" x14ac:dyDescent="0.3">
      <c r="B37" s="217" t="s">
        <v>302</v>
      </c>
      <c r="C37" s="39">
        <v>7334</v>
      </c>
      <c r="D37" s="39">
        <v>7194</v>
      </c>
      <c r="E37" s="39">
        <v>8741</v>
      </c>
      <c r="F37" s="39">
        <v>8219</v>
      </c>
      <c r="G37" s="39">
        <v>7289</v>
      </c>
      <c r="H37" s="39">
        <f>'Debt Schedule'!H42</f>
        <v>7059</v>
      </c>
      <c r="I37" s="39">
        <f>'Debt Schedule'!I42</f>
        <v>7501.1323532802417</v>
      </c>
      <c r="J37" s="39">
        <f>'Debt Schedule'!J42</f>
        <v>8363.136589262278</v>
      </c>
      <c r="K37" s="39">
        <f>'Debt Schedule'!K42</f>
        <v>8734.9500763277883</v>
      </c>
      <c r="L37" s="39">
        <f>'Debt Schedule'!L42</f>
        <v>9392.633816288364</v>
      </c>
      <c r="O37" t="s">
        <v>234</v>
      </c>
    </row>
    <row r="38" spans="2:21" ht="16.5" outlineLevel="2" thickTop="1" thickBot="1" x14ac:dyDescent="0.3">
      <c r="B38" s="217" t="s">
        <v>295</v>
      </c>
      <c r="C38" s="39">
        <v>426</v>
      </c>
      <c r="D38" s="39">
        <v>395</v>
      </c>
      <c r="E38" s="39">
        <v>383</v>
      </c>
      <c r="F38" s="39">
        <v>361</v>
      </c>
      <c r="G38" s="39">
        <v>343</v>
      </c>
      <c r="H38" s="267">
        <f>'BS Assumptions '!H61</f>
        <v>498.09133212557231</v>
      </c>
      <c r="I38" s="267">
        <f>'BS Assumptions '!I61</f>
        <v>519.69085541172944</v>
      </c>
      <c r="J38" s="267">
        <f>'BS Assumptions '!J61</f>
        <v>545.15618861684072</v>
      </c>
      <c r="K38" s="267">
        <f>'BS Assumptions '!K61</f>
        <v>573.92670626014592</v>
      </c>
      <c r="L38" s="267">
        <f>'BS Assumptions '!L61</f>
        <v>658.54198086916438</v>
      </c>
    </row>
    <row r="39" spans="2:21" ht="15.75" outlineLevel="2" thickTop="1" x14ac:dyDescent="0.25">
      <c r="B39" s="218" t="s">
        <v>303</v>
      </c>
      <c r="C39" s="40">
        <v>2655</v>
      </c>
      <c r="D39" s="40">
        <v>2429</v>
      </c>
      <c r="E39" s="40">
        <v>1797</v>
      </c>
      <c r="F39" s="40">
        <v>2115</v>
      </c>
      <c r="G39" s="40">
        <v>2111</v>
      </c>
      <c r="H39" s="268">
        <f>'BS Assumptions '!H76</f>
        <v>2658.4166217396896</v>
      </c>
      <c r="I39" s="268">
        <f>'BS Assumptions '!I76</f>
        <v>2694.555794841704</v>
      </c>
      <c r="J39" s="268">
        <f>'BS Assumptions '!J76</f>
        <v>2801.2615633955575</v>
      </c>
      <c r="K39" s="268">
        <f>'BS Assumptions '!K76</f>
        <v>3116.031153978257</v>
      </c>
      <c r="L39" s="268">
        <f>'BS Assumptions '!L76</f>
        <v>3447.2301553938769</v>
      </c>
      <c r="N39" t="s">
        <v>403</v>
      </c>
    </row>
    <row r="40" spans="2:21" ht="15.75" outlineLevel="2" thickBot="1" x14ac:dyDescent="0.3">
      <c r="B40" s="130" t="s">
        <v>80</v>
      </c>
      <c r="C40" s="131">
        <f>SUM(C37:C39)</f>
        <v>10415</v>
      </c>
      <c r="D40" s="131">
        <f>SUM(D37:D39)</f>
        <v>10018</v>
      </c>
      <c r="E40" s="131">
        <f>SUM(E37:E39)</f>
        <v>10921</v>
      </c>
      <c r="F40" s="131">
        <f>SUM(F37:F39)</f>
        <v>10695</v>
      </c>
      <c r="G40" s="131">
        <f>SUM(G37:G39)</f>
        <v>9743</v>
      </c>
      <c r="H40" s="131">
        <f t="shared" ref="H40:L40" si="8">SUM(H37:H39)</f>
        <v>10215.507953865261</v>
      </c>
      <c r="I40" s="131">
        <f t="shared" si="8"/>
        <v>10715.379003533675</v>
      </c>
      <c r="J40" s="131">
        <f t="shared" si="8"/>
        <v>11709.554341274676</v>
      </c>
      <c r="K40" s="131">
        <f t="shared" si="8"/>
        <v>12424.907936566193</v>
      </c>
      <c r="L40" s="131">
        <f t="shared" si="8"/>
        <v>13498.405952551406</v>
      </c>
    </row>
    <row r="41" spans="2:21" ht="4.9000000000000004" customHeight="1" outlineLevel="2" thickTop="1" x14ac:dyDescent="0.25">
      <c r="B41" s="25"/>
      <c r="C41" s="34"/>
      <c r="D41" s="34"/>
      <c r="E41" s="34"/>
      <c r="F41" s="34"/>
      <c r="G41" s="34"/>
      <c r="H41" s="34"/>
      <c r="I41" s="34"/>
      <c r="J41" s="34"/>
      <c r="K41" s="34"/>
      <c r="L41" s="34"/>
    </row>
    <row r="42" spans="2:21" outlineLevel="2" x14ac:dyDescent="0.25">
      <c r="B42" s="132" t="s">
        <v>34</v>
      </c>
      <c r="C42" s="133">
        <f>C40+C35</f>
        <v>14819</v>
      </c>
      <c r="D42" s="133">
        <f>D40+D35</f>
        <v>14069</v>
      </c>
      <c r="E42" s="133">
        <f>E40+E35</f>
        <v>14925</v>
      </c>
      <c r="F42" s="133">
        <f>F40+F35</f>
        <v>15436</v>
      </c>
      <c r="G42" s="133">
        <f>G40+G35</f>
        <v>15502</v>
      </c>
      <c r="H42" s="133">
        <f t="shared" ref="H42:L42" si="9">H40+H35</f>
        <v>16045.523635259557</v>
      </c>
      <c r="I42" s="133">
        <f t="shared" si="9"/>
        <v>16897.465362983123</v>
      </c>
      <c r="J42" s="133">
        <f t="shared" si="9"/>
        <v>18378.066740727641</v>
      </c>
      <c r="K42" s="133">
        <f t="shared" si="9"/>
        <v>19707.053885457579</v>
      </c>
      <c r="L42" s="133">
        <f t="shared" si="9"/>
        <v>21523.465713573893</v>
      </c>
    </row>
    <row r="43" spans="2:21" ht="4.9000000000000004" customHeight="1" outlineLevel="1" x14ac:dyDescent="0.25">
      <c r="B43" s="4"/>
      <c r="C43" s="32"/>
      <c r="D43" s="32"/>
      <c r="E43" s="32"/>
      <c r="F43" s="32"/>
      <c r="G43" s="32"/>
      <c r="H43" s="32"/>
      <c r="I43" s="32"/>
      <c r="J43" s="32"/>
      <c r="K43" s="32"/>
      <c r="L43" s="32"/>
    </row>
    <row r="44" spans="2:21" ht="15.75" outlineLevel="1" thickBot="1" x14ac:dyDescent="0.3">
      <c r="B44" s="1" t="s">
        <v>37</v>
      </c>
      <c r="C44" s="33"/>
      <c r="D44" s="32"/>
      <c r="E44" s="33"/>
      <c r="F44" s="33"/>
      <c r="G44" s="33"/>
      <c r="H44" s="33"/>
      <c r="I44" s="32"/>
      <c r="J44" s="33"/>
      <c r="K44" s="33"/>
      <c r="L44" s="33"/>
    </row>
    <row r="45" spans="2:21" ht="31.5" outlineLevel="2" thickTop="1" thickBot="1" x14ac:dyDescent="0.3">
      <c r="B45" s="222" t="s">
        <v>304</v>
      </c>
      <c r="C45" s="41">
        <v>1466</v>
      </c>
      <c r="D45" s="41">
        <v>1466</v>
      </c>
      <c r="E45" s="41">
        <v>1466</v>
      </c>
      <c r="F45" s="41">
        <v>1466</v>
      </c>
      <c r="G45" s="41">
        <v>1466</v>
      </c>
      <c r="H45" s="541">
        <f>'Equity Schedule'!H13</f>
        <v>1466</v>
      </c>
      <c r="I45" s="541">
        <f>'Equity Schedule'!I13</f>
        <v>1466</v>
      </c>
      <c r="J45" s="541">
        <f>'Equity Schedule'!J13</f>
        <v>1466</v>
      </c>
      <c r="K45" s="541">
        <f>'Equity Schedule'!K13</f>
        <v>1466</v>
      </c>
      <c r="L45" s="541">
        <f>'Equity Schedule'!L13</f>
        <v>1466</v>
      </c>
    </row>
    <row r="46" spans="2:21" ht="16.5" outlineLevel="2" thickTop="1" thickBot="1" x14ac:dyDescent="0.3">
      <c r="B46" s="217" t="s">
        <v>305</v>
      </c>
      <c r="C46" s="39">
        <v>2969</v>
      </c>
      <c r="D46" s="39">
        <v>3269</v>
      </c>
      <c r="E46" s="39">
        <v>3546</v>
      </c>
      <c r="F46" s="39">
        <v>3808</v>
      </c>
      <c r="G46" s="39">
        <v>4181</v>
      </c>
      <c r="H46" s="541">
        <f>'Equity Schedule'!H14</f>
        <v>4750.4798659720227</v>
      </c>
      <c r="I46" s="541">
        <f>'Equity Schedule'!I14</f>
        <v>5241.1253844892162</v>
      </c>
      <c r="J46" s="541">
        <f>'Equity Schedule'!J14</f>
        <v>5743.5900953379241</v>
      </c>
      <c r="K46" s="541">
        <f>'Equity Schedule'!K14</f>
        <v>6263.5640320738521</v>
      </c>
      <c r="L46" s="541">
        <f>'Equity Schedule'!L14</f>
        <v>6813.8993773935536</v>
      </c>
      <c r="N46" t="s">
        <v>403</v>
      </c>
    </row>
    <row r="47" spans="2:21" ht="16.5" outlineLevel="2" thickTop="1" thickBot="1" x14ac:dyDescent="0.3">
      <c r="B47" s="217" t="s">
        <v>306</v>
      </c>
      <c r="C47" s="39">
        <v>23699</v>
      </c>
      <c r="D47" s="39">
        <v>24350</v>
      </c>
      <c r="E47" s="39">
        <v>24573</v>
      </c>
      <c r="F47" s="39">
        <v>25289</v>
      </c>
      <c r="G47" s="39">
        <v>26145</v>
      </c>
      <c r="H47" s="541">
        <f>'Equity Schedule'!H15</f>
        <v>27139.798699853534</v>
      </c>
      <c r="I47" s="541">
        <f>'Equity Schedule'!I15</f>
        <v>28128.660058037167</v>
      </c>
      <c r="J47" s="541">
        <f>'Equity Schedule'!J15</f>
        <v>29198.428190327431</v>
      </c>
      <c r="K47" s="541">
        <f>'Equity Schedule'!K15</f>
        <v>30498.184797941722</v>
      </c>
      <c r="L47" s="541">
        <f>'Equity Schedule'!L15</f>
        <v>31985.318488767851</v>
      </c>
      <c r="N47" t="s">
        <v>403</v>
      </c>
    </row>
    <row r="48" spans="2:21" ht="16.5" outlineLevel="2" thickTop="1" thickBot="1" x14ac:dyDescent="0.3">
      <c r="B48" s="217" t="s">
        <v>307</v>
      </c>
      <c r="C48" s="41">
        <v>-4345</v>
      </c>
      <c r="D48" s="41">
        <v>-4386</v>
      </c>
      <c r="E48" s="41">
        <v>-4055</v>
      </c>
      <c r="F48" s="41">
        <v>-3937</v>
      </c>
      <c r="G48" s="41">
        <v>-4222</v>
      </c>
      <c r="H48" s="541">
        <f>'Equity Schedule'!H16</f>
        <v>-4222</v>
      </c>
      <c r="I48" s="541">
        <f>'Equity Schedule'!I16</f>
        <v>-4222</v>
      </c>
      <c r="J48" s="541">
        <f>'Equity Schedule'!J16</f>
        <v>-4222</v>
      </c>
      <c r="K48" s="541">
        <f>'Equity Schedule'!K16</f>
        <v>-4222</v>
      </c>
      <c r="L48" s="541">
        <f>'Equity Schedule'!L16</f>
        <v>-4222</v>
      </c>
      <c r="O48" s="32"/>
      <c r="P48" s="32"/>
      <c r="Q48" s="32"/>
      <c r="R48" s="32"/>
      <c r="S48" s="32"/>
      <c r="T48" s="32"/>
      <c r="U48" s="32"/>
    </row>
    <row r="49" spans="2:14" ht="16.5" outlineLevel="2" thickTop="1" thickBot="1" x14ac:dyDescent="0.3">
      <c r="B49" s="217" t="s">
        <v>308</v>
      </c>
      <c r="C49" s="39">
        <v>-1</v>
      </c>
      <c r="D49" s="39">
        <v>-1</v>
      </c>
      <c r="E49" s="39">
        <v>-1</v>
      </c>
      <c r="F49" s="35">
        <v>0</v>
      </c>
      <c r="G49" s="35">
        <v>0</v>
      </c>
      <c r="H49" s="542">
        <f>'Equity Schedule'!H17</f>
        <v>0</v>
      </c>
      <c r="I49" s="542">
        <f>'Equity Schedule'!I17</f>
        <v>0</v>
      </c>
      <c r="J49" s="542">
        <f>'Equity Schedule'!J17</f>
        <v>0</v>
      </c>
      <c r="K49" s="542">
        <f>'Equity Schedule'!K17</f>
        <v>0</v>
      </c>
      <c r="L49" s="542">
        <f>'Equity Schedule'!L17</f>
        <v>0</v>
      </c>
    </row>
    <row r="50" spans="2:14" ht="15.75" outlineLevel="2" thickTop="1" x14ac:dyDescent="0.25">
      <c r="B50" s="223" t="s">
        <v>357</v>
      </c>
      <c r="C50" s="40">
        <v>-23045</v>
      </c>
      <c r="D50" s="40">
        <v>-24089</v>
      </c>
      <c r="E50" s="40">
        <v>-25128</v>
      </c>
      <c r="F50" s="40">
        <v>-26017</v>
      </c>
      <c r="G50" s="40">
        <v>-27358</v>
      </c>
      <c r="H50" s="543">
        <f>'Equity Schedule'!H18</f>
        <v>-28890.692909416401</v>
      </c>
      <c r="I50" s="543">
        <f>'Equity Schedule'!I18</f>
        <v>-30613.040780156174</v>
      </c>
      <c r="J50" s="543">
        <f>'Equity Schedule'!J18</f>
        <v>-32514.559486059796</v>
      </c>
      <c r="K50" s="543">
        <f>'Equity Schedule'!K18</f>
        <v>-34582.493303739298</v>
      </c>
      <c r="L50" s="543">
        <f>'Equity Schedule'!L18</f>
        <v>-37072.178421611614</v>
      </c>
      <c r="N50" t="s">
        <v>403</v>
      </c>
    </row>
    <row r="51" spans="2:14" ht="29.45" customHeight="1" outlineLevel="2" thickBot="1" x14ac:dyDescent="0.3">
      <c r="B51" s="203" t="s">
        <v>309</v>
      </c>
      <c r="C51" s="135">
        <f>SUM(C45:C50)</f>
        <v>743</v>
      </c>
      <c r="D51" s="135">
        <f>SUM(D45:D50)</f>
        <v>609</v>
      </c>
      <c r="E51" s="135">
        <f>SUM(E45:E50)</f>
        <v>401</v>
      </c>
      <c r="F51" s="135">
        <f>SUM(F45:F50)</f>
        <v>609</v>
      </c>
      <c r="G51" s="135">
        <f>SUM(G45:G50)</f>
        <v>212</v>
      </c>
      <c r="H51" s="135">
        <f t="shared" ref="H51:L51" si="10">SUM(H45:H50)</f>
        <v>243.58565640915913</v>
      </c>
      <c r="I51" s="135">
        <f t="shared" si="10"/>
        <v>0.74466237020533299</v>
      </c>
      <c r="J51" s="135">
        <f t="shared" si="10"/>
        <v>-328.54120039444024</v>
      </c>
      <c r="K51" s="135">
        <f t="shared" si="10"/>
        <v>-576.74447372372379</v>
      </c>
      <c r="L51" s="135">
        <f t="shared" si="10"/>
        <v>-1028.9605554502123</v>
      </c>
    </row>
    <row r="52" spans="2:14" ht="16.5" outlineLevel="2" thickTop="1" thickBot="1" x14ac:dyDescent="0.3">
      <c r="B52" s="27" t="s">
        <v>38</v>
      </c>
      <c r="C52" s="39">
        <v>358</v>
      </c>
      <c r="D52" s="39">
        <v>362</v>
      </c>
      <c r="E52" s="39">
        <v>405</v>
      </c>
      <c r="F52" s="39">
        <v>348</v>
      </c>
      <c r="G52" s="39">
        <v>332</v>
      </c>
      <c r="H52" s="267">
        <f>'Equity Schedule'!H20</f>
        <v>332</v>
      </c>
      <c r="I52" s="267">
        <f>'Equity Schedule'!I20</f>
        <v>332</v>
      </c>
      <c r="J52" s="267">
        <f>'Equity Schedule'!J20</f>
        <v>332</v>
      </c>
      <c r="K52" s="267">
        <f>'Equity Schedule'!K20</f>
        <v>332</v>
      </c>
      <c r="L52" s="267">
        <f>'Equity Schedule'!L20</f>
        <v>332</v>
      </c>
    </row>
    <row r="53" spans="2:14" ht="15.75" outlineLevel="2" thickTop="1" x14ac:dyDescent="0.25">
      <c r="B53" s="132" t="s">
        <v>35</v>
      </c>
      <c r="C53" s="133">
        <f t="shared" ref="C53:G53" si="11">C52+C51</f>
        <v>1101</v>
      </c>
      <c r="D53" s="133">
        <f t="shared" si="11"/>
        <v>971</v>
      </c>
      <c r="E53" s="133">
        <f t="shared" si="11"/>
        <v>806</v>
      </c>
      <c r="F53" s="133">
        <f t="shared" si="11"/>
        <v>957</v>
      </c>
      <c r="G53" s="133">
        <f t="shared" si="11"/>
        <v>544</v>
      </c>
      <c r="H53" s="133">
        <f t="shared" ref="H53" si="12">H52+H51</f>
        <v>575.58565640915913</v>
      </c>
      <c r="I53" s="133">
        <f t="shared" ref="I53" si="13">I52+I51</f>
        <v>332.74466237020533</v>
      </c>
      <c r="J53" s="133">
        <f t="shared" ref="J53" si="14">J52+J51</f>
        <v>3.4587996055597614</v>
      </c>
      <c r="K53" s="133">
        <f t="shared" ref="K53" si="15">K52+K51</f>
        <v>-244.74447372372379</v>
      </c>
      <c r="L53" s="134">
        <f t="shared" ref="L53" si="16">L52+L51</f>
        <v>-696.96055545021227</v>
      </c>
    </row>
    <row r="54" spans="2:14" ht="4.1500000000000004" customHeight="1" outlineLevel="2" x14ac:dyDescent="0.25">
      <c r="B54" s="4"/>
      <c r="C54" s="32"/>
      <c r="D54" s="32"/>
      <c r="E54" s="33"/>
      <c r="F54" s="33"/>
      <c r="G54" s="33"/>
      <c r="H54" s="32"/>
      <c r="I54" s="32"/>
      <c r="J54" s="33"/>
      <c r="K54" s="33"/>
      <c r="L54" s="33"/>
    </row>
    <row r="55" spans="2:14" outlineLevel="2" x14ac:dyDescent="0.25">
      <c r="B55" s="132" t="s">
        <v>36</v>
      </c>
      <c r="C55" s="133">
        <f t="shared" ref="C55:L55" si="17">C42+C53</f>
        <v>15920</v>
      </c>
      <c r="D55" s="133">
        <f t="shared" si="17"/>
        <v>15040</v>
      </c>
      <c r="E55" s="133">
        <f t="shared" si="17"/>
        <v>15731</v>
      </c>
      <c r="F55" s="133">
        <f t="shared" si="17"/>
        <v>16393</v>
      </c>
      <c r="G55" s="133">
        <f t="shared" si="17"/>
        <v>16046</v>
      </c>
      <c r="H55" s="133">
        <f t="shared" si="17"/>
        <v>16621.109291668716</v>
      </c>
      <c r="I55" s="133">
        <f t="shared" si="17"/>
        <v>17230.210025353328</v>
      </c>
      <c r="J55" s="133">
        <f t="shared" si="17"/>
        <v>18381.525540333201</v>
      </c>
      <c r="K55" s="133">
        <f t="shared" si="17"/>
        <v>19462.309411733855</v>
      </c>
      <c r="L55" s="134">
        <f t="shared" si="17"/>
        <v>20826.50515812368</v>
      </c>
    </row>
    <row r="56" spans="2:14" x14ac:dyDescent="0.25">
      <c r="C56" s="32"/>
      <c r="D56" s="32"/>
      <c r="E56" s="32"/>
      <c r="F56" s="32"/>
      <c r="G56" s="32"/>
      <c r="H56" s="32"/>
      <c r="I56" s="32"/>
      <c r="J56" s="32"/>
      <c r="K56" s="32"/>
      <c r="L56" s="32"/>
    </row>
    <row r="57" spans="2:14" x14ac:dyDescent="0.25">
      <c r="B57" s="23" t="s">
        <v>22</v>
      </c>
      <c r="G57" s="32"/>
      <c r="I57" s="32"/>
      <c r="J57" s="32"/>
      <c r="K57" s="32"/>
      <c r="L57" s="32"/>
      <c r="M57" s="32"/>
      <c r="N57" s="32"/>
    </row>
    <row r="58" spans="2:14" x14ac:dyDescent="0.25">
      <c r="B58" t="s">
        <v>23</v>
      </c>
    </row>
    <row r="60" spans="2:14" x14ac:dyDescent="0.25">
      <c r="B60" s="29" t="s">
        <v>39</v>
      </c>
      <c r="C60" s="30">
        <f t="shared" ref="C60:L60" si="18">C55-C26</f>
        <v>0</v>
      </c>
      <c r="D60" s="30">
        <f t="shared" si="18"/>
        <v>0</v>
      </c>
      <c r="E60" s="30">
        <f t="shared" si="18"/>
        <v>0</v>
      </c>
      <c r="F60" s="30">
        <f t="shared" si="18"/>
        <v>0</v>
      </c>
      <c r="G60" s="30">
        <f t="shared" si="18"/>
        <v>0</v>
      </c>
      <c r="H60" s="30">
        <f t="shared" si="18"/>
        <v>0</v>
      </c>
      <c r="I60" s="30">
        <f t="shared" si="18"/>
        <v>0</v>
      </c>
      <c r="J60" s="30">
        <f t="shared" si="18"/>
        <v>0</v>
      </c>
      <c r="K60" s="30">
        <f t="shared" si="18"/>
        <v>0</v>
      </c>
      <c r="L60" s="30">
        <f t="shared" si="18"/>
        <v>0</v>
      </c>
    </row>
  </sheetData>
  <pageMargins left="0.70866141732283472" right="0.70866141732283472" top="0.74803149606299213" bottom="0.74803149606299213" header="0.31496062992125984" footer="0.31496062992125984"/>
  <pageSetup scale="49" fitToWidth="2" fitToHeight="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3F8C-28B7-4280-B21E-99094D142C3D}">
  <sheetPr>
    <tabColor theme="0"/>
    <pageSetUpPr fitToPage="1"/>
  </sheetPr>
  <dimension ref="A1:R64"/>
  <sheetViews>
    <sheetView showGridLines="0" view="pageBreakPreview" zoomScale="80" zoomScaleNormal="80" zoomScaleSheetLayoutView="80" workbookViewId="0">
      <pane xSplit="2" ySplit="10" topLeftCell="C46" activePane="bottomRight" state="frozen"/>
      <selection pane="topRight"/>
      <selection pane="bottomLeft"/>
      <selection pane="bottomRight" activeCell="C54" sqref="C54"/>
    </sheetView>
  </sheetViews>
  <sheetFormatPr defaultRowHeight="15" outlineLevelRow="1" x14ac:dyDescent="0.25"/>
  <cols>
    <col min="1" max="1" width="3.5703125" bestFit="1" customWidth="1"/>
    <col min="2" max="2" width="54.85546875" customWidth="1"/>
    <col min="3" max="7" width="9.85546875" customWidth="1"/>
    <col min="8" max="8" width="12" customWidth="1"/>
    <col min="13" max="13" width="3" bestFit="1" customWidth="1"/>
  </cols>
  <sheetData>
    <row r="1" spans="1:17" x14ac:dyDescent="0.25">
      <c r="P1" s="8"/>
      <c r="Q1" s="156"/>
    </row>
    <row r="7" spans="1:17" x14ac:dyDescent="0.25">
      <c r="A7" s="31"/>
    </row>
    <row r="8" spans="1:17" ht="15.75" thickBot="1" x14ac:dyDescent="0.3">
      <c r="A8" s="31"/>
    </row>
    <row r="9" spans="1:17" ht="18.75" thickTop="1" thickBot="1" x14ac:dyDescent="0.3">
      <c r="B9" s="147" t="s">
        <v>20</v>
      </c>
      <c r="C9" s="224" t="s">
        <v>21</v>
      </c>
      <c r="D9" s="225"/>
      <c r="E9" s="225"/>
      <c r="F9" s="225"/>
      <c r="G9" s="225"/>
      <c r="H9" s="224" t="s">
        <v>67</v>
      </c>
      <c r="I9" s="225"/>
      <c r="J9" s="225"/>
      <c r="K9" s="225"/>
      <c r="L9" s="225"/>
    </row>
    <row r="10" spans="1:17" ht="16.5" thickTop="1" thickBot="1" x14ac:dyDescent="0.3">
      <c r="B10" s="206"/>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row>
    <row r="11" spans="1:17" ht="18" customHeight="1" thickTop="1" thickBot="1" x14ac:dyDescent="0.3">
      <c r="A11" s="81" t="s">
        <v>57</v>
      </c>
      <c r="B11" s="63" t="s">
        <v>40</v>
      </c>
      <c r="C11" s="122"/>
      <c r="D11" s="123"/>
      <c r="E11" s="123"/>
      <c r="F11" s="123"/>
      <c r="G11" s="123"/>
      <c r="H11" s="123"/>
      <c r="I11" s="123"/>
      <c r="J11" s="123"/>
      <c r="K11" s="123"/>
      <c r="L11" s="185"/>
    </row>
    <row r="12" spans="1:17" ht="16.5" outlineLevel="1" thickTop="1" thickBot="1" x14ac:dyDescent="0.3">
      <c r="A12" s="81"/>
      <c r="B12" s="28" t="s">
        <v>318</v>
      </c>
      <c r="C12" s="37">
        <f>IS!C22</f>
        <v>2860</v>
      </c>
      <c r="D12" s="37">
        <f>IS!D22</f>
        <v>2338</v>
      </c>
      <c r="E12" s="37">
        <f>IS!E22</f>
        <v>1967</v>
      </c>
      <c r="F12" s="37">
        <f>IS!F22</f>
        <v>2455</v>
      </c>
      <c r="G12" s="37">
        <f>IS!G22</f>
        <v>3049</v>
      </c>
      <c r="H12" s="37">
        <f>IS!H22</f>
        <v>3220.0698185603792</v>
      </c>
      <c r="I12" s="37">
        <f>IS!I22</f>
        <v>3452.8640532927211</v>
      </c>
      <c r="J12" s="37">
        <f>IS!J22</f>
        <v>3723.6070242275368</v>
      </c>
      <c r="K12" s="37">
        <f>IS!K22</f>
        <v>4104.2028670969621</v>
      </c>
      <c r="L12" s="37">
        <f>IS!L22</f>
        <v>4611.0995226519735</v>
      </c>
    </row>
    <row r="13" spans="1:17" ht="31.15" customHeight="1" outlineLevel="1" thickTop="1" thickBot="1" x14ac:dyDescent="0.3">
      <c r="A13" s="81"/>
      <c r="B13" s="208" t="s">
        <v>319</v>
      </c>
      <c r="C13" s="226"/>
      <c r="D13" s="227"/>
      <c r="E13" s="227"/>
      <c r="F13" s="227"/>
      <c r="G13" s="228"/>
      <c r="H13" s="226"/>
      <c r="I13" s="227"/>
      <c r="J13" s="227"/>
      <c r="K13" s="227"/>
      <c r="L13" s="228"/>
    </row>
    <row r="14" spans="1:17" ht="16.5" outlineLevel="1" thickTop="1" thickBot="1" x14ac:dyDescent="0.3">
      <c r="A14" s="81"/>
      <c r="B14" s="144" t="s">
        <v>320</v>
      </c>
      <c r="C14" s="35">
        <v>539</v>
      </c>
      <c r="D14" s="35">
        <v>556</v>
      </c>
      <c r="E14" s="35">
        <v>545</v>
      </c>
      <c r="F14" s="35">
        <v>567</v>
      </c>
      <c r="G14" s="35">
        <v>605</v>
      </c>
      <c r="H14" s="37">
        <f>'BS Assumptions '!H39+'BS Assumptions '!H49</f>
        <v>337.85171326669752</v>
      </c>
      <c r="I14" s="37">
        <f>'BS Assumptions '!I39+'BS Assumptions '!I49</f>
        <v>370.97456285422413</v>
      </c>
      <c r="J14" s="37">
        <f>'BS Assumptions '!J39+'BS Assumptions '!J49</f>
        <v>318.49715051101066</v>
      </c>
      <c r="K14" s="37">
        <f>'BS Assumptions '!K39+'BS Assumptions '!K49</f>
        <v>406.1770969966683</v>
      </c>
      <c r="L14" s="37">
        <f>'BS Assumptions '!L39+'BS Assumptions '!L49</f>
        <v>371.47084795934188</v>
      </c>
    </row>
    <row r="15" spans="1:17" ht="16.5" outlineLevel="1" thickTop="1" thickBot="1" x14ac:dyDescent="0.3">
      <c r="A15" s="81"/>
      <c r="B15" s="144" t="s">
        <v>310</v>
      </c>
      <c r="C15" s="35">
        <v>0</v>
      </c>
      <c r="D15" s="35">
        <v>0</v>
      </c>
      <c r="E15" s="35">
        <v>0</v>
      </c>
      <c r="F15" s="35">
        <v>267</v>
      </c>
      <c r="G15" s="35">
        <v>0</v>
      </c>
      <c r="H15" s="35">
        <v>0</v>
      </c>
      <c r="I15" s="35">
        <v>0</v>
      </c>
      <c r="J15" s="35">
        <v>0</v>
      </c>
      <c r="K15" s="35">
        <v>0</v>
      </c>
      <c r="L15" s="35">
        <v>0</v>
      </c>
      <c r="O15" t="s">
        <v>232</v>
      </c>
    </row>
    <row r="16" spans="1:17" ht="16.5" outlineLevel="1" thickTop="1" thickBot="1" x14ac:dyDescent="0.3">
      <c r="A16" s="81"/>
      <c r="B16" s="144" t="s">
        <v>321</v>
      </c>
      <c r="C16" s="35">
        <v>-71</v>
      </c>
      <c r="D16" s="35">
        <v>-21</v>
      </c>
      <c r="E16" s="35">
        <v>49</v>
      </c>
      <c r="F16" s="35">
        <v>-23</v>
      </c>
      <c r="G16" s="35">
        <v>51</v>
      </c>
      <c r="H16" s="35">
        <v>0</v>
      </c>
      <c r="I16" s="35">
        <v>0</v>
      </c>
      <c r="J16" s="35">
        <v>0</v>
      </c>
      <c r="K16" s="35">
        <v>0</v>
      </c>
      <c r="L16" s="35">
        <v>0</v>
      </c>
      <c r="O16" t="s">
        <v>232</v>
      </c>
    </row>
    <row r="17" spans="1:15" ht="16.5" outlineLevel="1" thickTop="1" thickBot="1" x14ac:dyDescent="0.3">
      <c r="A17" s="81"/>
      <c r="B17" s="144" t="s">
        <v>311</v>
      </c>
      <c r="C17" s="35">
        <v>107</v>
      </c>
      <c r="D17" s="35">
        <v>135</v>
      </c>
      <c r="E17" s="35">
        <v>125</v>
      </c>
      <c r="F17" s="35">
        <v>122</v>
      </c>
      <c r="G17" s="35">
        <v>135</v>
      </c>
      <c r="H17" s="35">
        <v>0</v>
      </c>
      <c r="I17" s="35">
        <v>0</v>
      </c>
      <c r="J17" s="35">
        <v>0</v>
      </c>
      <c r="K17" s="35">
        <v>0</v>
      </c>
      <c r="L17" s="35">
        <v>0</v>
      </c>
      <c r="O17" t="s">
        <v>232</v>
      </c>
    </row>
    <row r="18" spans="1:15" ht="16.5" outlineLevel="1" thickTop="1" thickBot="1" x14ac:dyDescent="0.3">
      <c r="A18" s="81"/>
      <c r="B18" s="144" t="s">
        <v>322</v>
      </c>
      <c r="C18" s="35">
        <v>0</v>
      </c>
      <c r="D18" s="35">
        <v>0</v>
      </c>
      <c r="E18" s="35">
        <v>-47</v>
      </c>
      <c r="F18" s="35">
        <v>0</v>
      </c>
      <c r="G18" s="35">
        <v>0</v>
      </c>
      <c r="H18" s="35">
        <v>0</v>
      </c>
      <c r="I18" s="35">
        <v>0</v>
      </c>
      <c r="J18" s="35">
        <v>0</v>
      </c>
      <c r="K18" s="35">
        <v>0</v>
      </c>
      <c r="L18" s="35">
        <v>0</v>
      </c>
      <c r="O18" t="s">
        <v>232</v>
      </c>
    </row>
    <row r="19" spans="1:15" ht="16.5" outlineLevel="1" thickTop="1" thickBot="1" x14ac:dyDescent="0.3">
      <c r="A19" s="81"/>
      <c r="B19" s="144" t="s">
        <v>285</v>
      </c>
      <c r="C19" s="35">
        <v>0</v>
      </c>
      <c r="D19" s="35">
        <v>571</v>
      </c>
      <c r="E19" s="35">
        <v>721</v>
      </c>
      <c r="F19" s="35">
        <v>0</v>
      </c>
      <c r="G19" s="35">
        <v>0</v>
      </c>
      <c r="H19" s="35">
        <v>0</v>
      </c>
      <c r="I19" s="35">
        <v>0</v>
      </c>
      <c r="J19" s="35">
        <v>0</v>
      </c>
      <c r="K19" s="35">
        <v>0</v>
      </c>
      <c r="L19" s="35">
        <v>0</v>
      </c>
      <c r="O19" t="s">
        <v>232</v>
      </c>
    </row>
    <row r="20" spans="1:15" ht="16.5" outlineLevel="1" thickTop="1" thickBot="1" x14ac:dyDescent="0.3">
      <c r="A20" s="81"/>
      <c r="B20" s="144" t="s">
        <v>323</v>
      </c>
      <c r="C20" s="35">
        <v>23</v>
      </c>
      <c r="D20" s="35">
        <v>75</v>
      </c>
      <c r="E20" s="35">
        <v>0</v>
      </c>
      <c r="F20" s="35">
        <v>0</v>
      </c>
      <c r="G20" s="35">
        <v>0</v>
      </c>
      <c r="H20" s="35">
        <v>0</v>
      </c>
      <c r="I20" s="35">
        <v>0</v>
      </c>
      <c r="J20" s="35">
        <v>0</v>
      </c>
      <c r="K20" s="35">
        <v>0</v>
      </c>
      <c r="L20" s="35">
        <v>0</v>
      </c>
      <c r="O20" t="s">
        <v>232</v>
      </c>
    </row>
    <row r="21" spans="1:15" ht="16.5" outlineLevel="1" thickTop="1" thickBot="1" x14ac:dyDescent="0.3">
      <c r="A21" s="81"/>
      <c r="B21" s="144" t="s">
        <v>295</v>
      </c>
      <c r="C21" s="35">
        <v>-120</v>
      </c>
      <c r="D21" s="35">
        <v>-132</v>
      </c>
      <c r="E21" s="35">
        <v>-78</v>
      </c>
      <c r="F21" s="35">
        <v>-98</v>
      </c>
      <c r="G21" s="35">
        <v>-77</v>
      </c>
      <c r="H21" s="37">
        <f>(BS!G22-BS!H22)+(BS!H38-BS!G38)</f>
        <v>85.749608269509565</v>
      </c>
      <c r="I21" s="37">
        <f>(BS!H22-BS!I22)+(BS!I38-BS!H38)</f>
        <v>28.610607010757178</v>
      </c>
      <c r="J21" s="37">
        <f>(BS!I22-BS!J22)+(BS!J38-BS!I38)</f>
        <v>12.021172148080552</v>
      </c>
      <c r="K21" s="37">
        <f>(BS!J22-BS!K22)+(BS!K38-BS!J38)</f>
        <v>-6.7369068143036657</v>
      </c>
      <c r="L21" s="37">
        <f>(BS!K22-BS!L22)+(BS!L38-BS!K38)</f>
        <v>46.273797669378496</v>
      </c>
      <c r="O21" t="s">
        <v>407</v>
      </c>
    </row>
    <row r="22" spans="1:15" ht="16.5" outlineLevel="1" thickTop="1" thickBot="1" x14ac:dyDescent="0.3">
      <c r="A22" s="81"/>
      <c r="B22" s="144" t="s">
        <v>312</v>
      </c>
      <c r="C22" s="35">
        <v>0</v>
      </c>
      <c r="D22" s="35">
        <v>0</v>
      </c>
      <c r="E22" s="35">
        <v>0</v>
      </c>
      <c r="F22" s="35">
        <v>0</v>
      </c>
      <c r="G22" s="35">
        <v>0</v>
      </c>
      <c r="H22" s="35">
        <v>0</v>
      </c>
      <c r="I22" s="35">
        <v>0</v>
      </c>
      <c r="J22" s="35">
        <v>0</v>
      </c>
      <c r="K22" s="35">
        <v>0</v>
      </c>
      <c r="L22" s="35">
        <v>0</v>
      </c>
      <c r="O22" t="s">
        <v>232</v>
      </c>
    </row>
    <row r="23" spans="1:15" ht="16.5" outlineLevel="1" thickTop="1" thickBot="1" x14ac:dyDescent="0.3">
      <c r="A23" s="81"/>
      <c r="B23" s="28" t="s">
        <v>324</v>
      </c>
      <c r="C23" s="226"/>
      <c r="D23" s="227"/>
      <c r="E23" s="227"/>
      <c r="F23" s="227"/>
      <c r="G23" s="228"/>
      <c r="H23" s="226"/>
      <c r="I23" s="227"/>
      <c r="J23" s="227"/>
      <c r="K23" s="227"/>
      <c r="L23" s="228"/>
    </row>
    <row r="24" spans="1:15" ht="16.5" outlineLevel="1" thickTop="1" thickBot="1" x14ac:dyDescent="0.3">
      <c r="A24" s="81"/>
      <c r="B24" s="145" t="s">
        <v>15</v>
      </c>
      <c r="C24" s="35">
        <v>138</v>
      </c>
      <c r="D24" s="35">
        <v>-84</v>
      </c>
      <c r="E24" s="35">
        <v>-227</v>
      </c>
      <c r="F24" s="35">
        <v>-37</v>
      </c>
      <c r="G24" s="35">
        <v>-56</v>
      </c>
      <c r="H24" s="37">
        <f>BS!G14-BS!H14</f>
        <v>-175.58902056204056</v>
      </c>
      <c r="I24" s="37">
        <f>BS!H14-BS!I14</f>
        <v>-145.29905293084903</v>
      </c>
      <c r="J24" s="37">
        <f>BS!I14-BS!J14</f>
        <v>-178.82322470199597</v>
      </c>
      <c r="K24" s="37">
        <f>BS!J14-BS!K14</f>
        <v>-162.97850489788311</v>
      </c>
      <c r="L24" s="37">
        <f>BS!K14-BS!L14</f>
        <v>-199.59592732685269</v>
      </c>
      <c r="M24" s="7"/>
    </row>
    <row r="25" spans="1:15" ht="16.5" outlineLevel="1" thickTop="1" thickBot="1" x14ac:dyDescent="0.3">
      <c r="A25" s="81"/>
      <c r="B25" s="146" t="s">
        <v>13</v>
      </c>
      <c r="C25" s="35">
        <v>-251</v>
      </c>
      <c r="D25" s="35">
        <v>-72</v>
      </c>
      <c r="E25" s="35">
        <v>-333</v>
      </c>
      <c r="F25" s="35">
        <v>194</v>
      </c>
      <c r="G25" s="35">
        <v>-100</v>
      </c>
      <c r="H25" s="37">
        <f>BS!G15-BS!H15</f>
        <v>-229.4105226973561</v>
      </c>
      <c r="I25" s="37">
        <f>BS!H15-BS!I15</f>
        <v>-182.93492329810715</v>
      </c>
      <c r="J25" s="37">
        <f>BS!I15-BS!J15</f>
        <v>-232.60501408353593</v>
      </c>
      <c r="K25" s="37">
        <f>BS!J15-BS!K15</f>
        <v>-178.76360846527587</v>
      </c>
      <c r="L25" s="37">
        <f>BS!K15-BS!L15</f>
        <v>-289.85073376439186</v>
      </c>
    </row>
    <row r="26" spans="1:15" ht="16.5" outlineLevel="1" thickTop="1" thickBot="1" x14ac:dyDescent="0.3">
      <c r="A26" s="81"/>
      <c r="B26" s="146" t="s">
        <v>292</v>
      </c>
      <c r="C26" s="35">
        <v>0</v>
      </c>
      <c r="D26" s="35">
        <v>0</v>
      </c>
      <c r="E26" s="35">
        <v>0</v>
      </c>
      <c r="F26" s="35">
        <v>0</v>
      </c>
      <c r="G26" s="35">
        <v>0</v>
      </c>
      <c r="H26" s="37">
        <f>BS!G16-BS!H16</f>
        <v>-77.725130469772353</v>
      </c>
      <c r="I26" s="37">
        <f>BS!H16-BS!I16</f>
        <v>-89.334105016726085</v>
      </c>
      <c r="J26" s="37">
        <f>BS!I16-BS!J16</f>
        <v>-98.17926162109859</v>
      </c>
      <c r="K26" s="37">
        <f>BS!J16-BS!K16</f>
        <v>-69.056138885554788</v>
      </c>
      <c r="L26" s="37">
        <f>BS!K16-BS!L16</f>
        <v>-85.595671810349359</v>
      </c>
    </row>
    <row r="27" spans="1:15" ht="16.5" outlineLevel="1" thickTop="1" thickBot="1" x14ac:dyDescent="0.3">
      <c r="A27" s="81"/>
      <c r="B27" s="146" t="s">
        <v>325</v>
      </c>
      <c r="C27" s="35">
        <v>520</v>
      </c>
      <c r="D27" s="35">
        <v>14</v>
      </c>
      <c r="E27" s="35">
        <v>-115</v>
      </c>
      <c r="F27" s="35">
        <v>309</v>
      </c>
      <c r="G27" s="35">
        <v>516</v>
      </c>
      <c r="H27" s="37">
        <f>(BS!H32-BS!G32)+(BS!H34-BS!G34)+(BS!H33-BS!G33)</f>
        <v>71.015681394295825</v>
      </c>
      <c r="I27" s="37">
        <f>(BS!I32-BS!H32)+(BS!I34-BS!H34)+(BS!I33-BS!H33)</f>
        <v>352.07067805515385</v>
      </c>
      <c r="J27" s="37">
        <f>(BS!J32-BS!I32)+(BS!J34-BS!I34)+(BS!J33-BS!I33)</f>
        <v>486.42604000351685</v>
      </c>
      <c r="K27" s="37">
        <f>(BS!K32-BS!J32)+(BS!K34-BS!J34)+(BS!K33-BS!J33)</f>
        <v>613.63354943841739</v>
      </c>
      <c r="L27" s="37">
        <f>(BS!L32-BS!K32)+(BS!L34-BS!K34)+(BS!L33-BS!K33)</f>
        <v>742.91381213110299</v>
      </c>
    </row>
    <row r="28" spans="1:15" ht="15.75" outlineLevel="1" thickTop="1" x14ac:dyDescent="0.25">
      <c r="A28" s="81"/>
      <c r="B28" s="149" t="s">
        <v>326</v>
      </c>
      <c r="C28" s="150">
        <v>-26</v>
      </c>
      <c r="D28" s="150">
        <v>-55</v>
      </c>
      <c r="E28" s="150">
        <v>-51</v>
      </c>
      <c r="F28" s="150">
        <v>-11</v>
      </c>
      <c r="G28" s="150">
        <v>-16</v>
      </c>
      <c r="H28" s="186">
        <f>(BS!G23-BS!H23)+(BS!H39-BS!G39)</f>
        <v>486.20898720471018</v>
      </c>
      <c r="I28" s="186">
        <f>(BS!H23-BS!I23)+(BS!I39-BS!H39)</f>
        <v>-60.861480759302822</v>
      </c>
      <c r="J28" s="186">
        <f>(BS!I23-BS!J23)+(BS!J39-BS!I39)</f>
        <v>15.032275703705636</v>
      </c>
      <c r="K28" s="186">
        <f>(BS!J23-BS!K23)+(BS!K39-BS!J39)</f>
        <v>179.79195364040993</v>
      </c>
      <c r="L28" s="186">
        <f>(BS!K23-BS!L23)+(BS!L39-BS!K39)</f>
        <v>182.59432471575678</v>
      </c>
    </row>
    <row r="29" spans="1:15" ht="15.75" outlineLevel="1" thickBot="1" x14ac:dyDescent="0.3">
      <c r="A29" s="81"/>
      <c r="B29" s="151" t="s">
        <v>327</v>
      </c>
      <c r="C29" s="148">
        <f t="shared" ref="C29:L29" si="1">SUM(C12:C28)</f>
        <v>3719</v>
      </c>
      <c r="D29" s="148">
        <f t="shared" si="1"/>
        <v>3325</v>
      </c>
      <c r="E29" s="148">
        <f t="shared" si="1"/>
        <v>2556</v>
      </c>
      <c r="F29" s="148">
        <f t="shared" si="1"/>
        <v>3745</v>
      </c>
      <c r="G29" s="148">
        <f t="shared" si="1"/>
        <v>4107</v>
      </c>
      <c r="H29" s="148">
        <f t="shared" si="1"/>
        <v>3718.1711349664238</v>
      </c>
      <c r="I29" s="148">
        <f t="shared" si="1"/>
        <v>3726.0903392078708</v>
      </c>
      <c r="J29" s="148">
        <f t="shared" si="1"/>
        <v>4045.9761621872199</v>
      </c>
      <c r="K29" s="148">
        <f t="shared" si="1"/>
        <v>4886.2703081094405</v>
      </c>
      <c r="L29" s="148">
        <f t="shared" si="1"/>
        <v>5379.3099722259585</v>
      </c>
    </row>
    <row r="30" spans="1:15" ht="16.5" outlineLevel="1" thickTop="1" thickBot="1" x14ac:dyDescent="0.3">
      <c r="A30" s="81"/>
      <c r="B30" s="153"/>
      <c r="C30" s="152"/>
      <c r="D30" s="152"/>
      <c r="E30" s="152"/>
      <c r="F30" s="152"/>
      <c r="G30" s="152"/>
      <c r="H30" s="152"/>
      <c r="I30" s="152"/>
      <c r="J30" s="152"/>
      <c r="K30" s="152"/>
      <c r="L30" s="152"/>
    </row>
    <row r="31" spans="1:15" s="31" customFormat="1" ht="16.5" thickTop="1" thickBot="1" x14ac:dyDescent="0.3">
      <c r="A31" s="81" t="s">
        <v>118</v>
      </c>
      <c r="B31" s="207" t="s">
        <v>41</v>
      </c>
      <c r="C31" s="123"/>
      <c r="D31" s="123"/>
      <c r="E31" s="123"/>
      <c r="F31" s="123"/>
      <c r="G31" s="123"/>
      <c r="H31" s="123"/>
      <c r="I31" s="123"/>
      <c r="J31" s="123"/>
      <c r="K31" s="123"/>
      <c r="L31" s="185"/>
      <c r="M31"/>
      <c r="N31"/>
    </row>
    <row r="32" spans="1:15" ht="16.5" outlineLevel="1" thickTop="1" thickBot="1" x14ac:dyDescent="0.3">
      <c r="A32" s="81"/>
      <c r="B32" s="154" t="s">
        <v>313</v>
      </c>
      <c r="C32" s="35">
        <v>-410</v>
      </c>
      <c r="D32" s="35">
        <v>-567</v>
      </c>
      <c r="E32" s="35">
        <v>-696</v>
      </c>
      <c r="F32" s="35">
        <v>-705</v>
      </c>
      <c r="G32" s="35">
        <v>-561</v>
      </c>
      <c r="H32" s="37">
        <f>-'BS Assumptions '!H35</f>
        <v>-693.72491316926187</v>
      </c>
      <c r="I32" s="37">
        <f>-'BS Assumptions '!I35</f>
        <v>-783.47970480238837</v>
      </c>
      <c r="J32" s="37">
        <f>-'BS Assumptions '!J35</f>
        <v>-855.08751117706993</v>
      </c>
      <c r="K32" s="37">
        <f>-'BS Assumptions '!K35</f>
        <v>-905.67765474870225</v>
      </c>
      <c r="L32" s="37">
        <f>-'BS Assumptions '!L35</f>
        <v>-973.6781078080777</v>
      </c>
    </row>
    <row r="33" spans="1:15" ht="16.5" outlineLevel="1" thickTop="1" thickBot="1" x14ac:dyDescent="0.3">
      <c r="A33" s="81"/>
      <c r="B33" s="28" t="s">
        <v>328</v>
      </c>
      <c r="C33" s="35">
        <v>-143</v>
      </c>
      <c r="D33" s="35">
        <v>-141</v>
      </c>
      <c r="E33" s="35">
        <v>-470</v>
      </c>
      <c r="F33" s="35">
        <v>-506</v>
      </c>
      <c r="G33" s="35">
        <v>-574</v>
      </c>
      <c r="H33" s="35">
        <v>0</v>
      </c>
      <c r="I33" s="35">
        <v>0</v>
      </c>
      <c r="J33" s="35">
        <v>0</v>
      </c>
      <c r="K33" s="35">
        <v>0</v>
      </c>
      <c r="L33" s="35">
        <v>0</v>
      </c>
      <c r="O33" t="s">
        <v>232</v>
      </c>
    </row>
    <row r="34" spans="1:15" ht="16.5" outlineLevel="1" thickTop="1" thickBot="1" x14ac:dyDescent="0.3">
      <c r="A34" s="81"/>
      <c r="B34" s="28" t="s">
        <v>329</v>
      </c>
      <c r="C34" s="35">
        <v>124</v>
      </c>
      <c r="D34" s="35">
        <v>141</v>
      </c>
      <c r="E34" s="35">
        <v>322</v>
      </c>
      <c r="F34" s="35">
        <v>502</v>
      </c>
      <c r="G34" s="35">
        <v>564</v>
      </c>
      <c r="H34" s="35">
        <v>0</v>
      </c>
      <c r="I34" s="35">
        <v>0</v>
      </c>
      <c r="J34" s="35">
        <v>0</v>
      </c>
      <c r="K34" s="35">
        <v>0</v>
      </c>
      <c r="L34" s="35">
        <v>0</v>
      </c>
      <c r="O34" t="s">
        <v>232</v>
      </c>
    </row>
    <row r="35" spans="1:15" ht="16.5" outlineLevel="1" thickTop="1" thickBot="1" x14ac:dyDescent="0.3">
      <c r="A35" s="81"/>
      <c r="B35" s="28" t="s">
        <v>330</v>
      </c>
      <c r="C35" s="35">
        <v>-353</v>
      </c>
      <c r="D35" s="35">
        <v>0</v>
      </c>
      <c r="E35" s="35">
        <v>-809</v>
      </c>
      <c r="F35" s="35">
        <v>0</v>
      </c>
      <c r="G35" s="35">
        <v>0</v>
      </c>
      <c r="H35" s="35">
        <v>0</v>
      </c>
      <c r="I35" s="35">
        <v>0</v>
      </c>
      <c r="J35" s="35">
        <v>0</v>
      </c>
      <c r="K35" s="35">
        <v>0</v>
      </c>
      <c r="L35" s="35">
        <v>0</v>
      </c>
      <c r="O35" t="s">
        <v>232</v>
      </c>
    </row>
    <row r="36" spans="1:15" ht="16.5" outlineLevel="1" thickTop="1" thickBot="1" x14ac:dyDescent="0.3">
      <c r="A36" s="81"/>
      <c r="B36" s="28" t="s">
        <v>331</v>
      </c>
      <c r="C36" s="35">
        <v>0</v>
      </c>
      <c r="D36" s="35">
        <v>0</v>
      </c>
      <c r="E36" s="35">
        <v>47</v>
      </c>
      <c r="F36" s="35">
        <v>0</v>
      </c>
      <c r="G36" s="35">
        <v>0</v>
      </c>
      <c r="H36" s="35">
        <v>0</v>
      </c>
      <c r="I36" s="35">
        <v>0</v>
      </c>
      <c r="J36" s="35">
        <v>0</v>
      </c>
      <c r="K36" s="35">
        <v>0</v>
      </c>
      <c r="L36" s="35">
        <v>0</v>
      </c>
      <c r="O36" t="s">
        <v>232</v>
      </c>
    </row>
    <row r="37" spans="1:15" ht="15.75" outlineLevel="1" thickTop="1" x14ac:dyDescent="0.25">
      <c r="A37" s="81"/>
      <c r="B37" s="36" t="s">
        <v>314</v>
      </c>
      <c r="C37" s="35">
        <v>3</v>
      </c>
      <c r="D37" s="35">
        <v>-25</v>
      </c>
      <c r="E37" s="35">
        <v>5</v>
      </c>
      <c r="F37" s="35">
        <v>-33</v>
      </c>
      <c r="G37" s="35">
        <v>37</v>
      </c>
      <c r="H37" s="35">
        <v>0</v>
      </c>
      <c r="I37" s="35">
        <v>0</v>
      </c>
      <c r="J37" s="35">
        <v>0</v>
      </c>
      <c r="K37" s="35">
        <v>0</v>
      </c>
      <c r="L37" s="35">
        <v>0</v>
      </c>
      <c r="O37" t="s">
        <v>232</v>
      </c>
    </row>
    <row r="38" spans="1:15" ht="15.75" outlineLevel="1" thickBot="1" x14ac:dyDescent="0.3">
      <c r="A38" s="81"/>
      <c r="B38" s="151" t="s">
        <v>271</v>
      </c>
      <c r="C38" s="155">
        <f>SUM(C32:C37)</f>
        <v>-779</v>
      </c>
      <c r="D38" s="155">
        <f>SUM(D32:D37)</f>
        <v>-592</v>
      </c>
      <c r="E38" s="155">
        <f>SUM(E32:E37)</f>
        <v>-1601</v>
      </c>
      <c r="F38" s="155">
        <f>SUM(F32:F37)</f>
        <v>-742</v>
      </c>
      <c r="G38" s="155">
        <f>SUM(G32:G37)</f>
        <v>-534</v>
      </c>
      <c r="H38" s="155">
        <f t="shared" ref="H38:L38" si="2">SUM(H32:H37)</f>
        <v>-693.72491316926187</v>
      </c>
      <c r="I38" s="155">
        <f t="shared" si="2"/>
        <v>-783.47970480238837</v>
      </c>
      <c r="J38" s="155">
        <f t="shared" si="2"/>
        <v>-855.08751117706993</v>
      </c>
      <c r="K38" s="155">
        <f t="shared" si="2"/>
        <v>-905.67765474870225</v>
      </c>
      <c r="L38" s="155">
        <f t="shared" si="2"/>
        <v>-973.6781078080777</v>
      </c>
    </row>
    <row r="39" spans="1:15" ht="16.5" thickTop="1" thickBot="1" x14ac:dyDescent="0.3">
      <c r="A39" s="81"/>
      <c r="O39" s="7">
        <f>G29+G38+G41+G42+G44+G45</f>
        <v>-365</v>
      </c>
    </row>
    <row r="40" spans="1:15" ht="16.5" thickTop="1" thickBot="1" x14ac:dyDescent="0.3">
      <c r="A40" s="81" t="s">
        <v>119</v>
      </c>
      <c r="B40" s="205" t="s">
        <v>42</v>
      </c>
      <c r="C40" s="122"/>
      <c r="D40" s="123"/>
      <c r="E40" s="123"/>
      <c r="F40" s="123"/>
      <c r="G40" s="123"/>
      <c r="H40" s="123"/>
      <c r="I40" s="123"/>
      <c r="J40" s="123"/>
      <c r="K40" s="123"/>
      <c r="L40" s="185"/>
    </row>
    <row r="41" spans="1:15" ht="16.5" outlineLevel="1" thickTop="1" thickBot="1" x14ac:dyDescent="0.3">
      <c r="A41" s="81"/>
      <c r="B41" s="28" t="s">
        <v>315</v>
      </c>
      <c r="C41" s="35">
        <v>488</v>
      </c>
      <c r="D41" s="35">
        <v>-171</v>
      </c>
      <c r="E41" s="35">
        <v>540</v>
      </c>
      <c r="F41" s="35">
        <v>-906</v>
      </c>
      <c r="G41" s="35">
        <v>93</v>
      </c>
      <c r="H41" s="35">
        <v>0</v>
      </c>
      <c r="I41" s="35">
        <v>0</v>
      </c>
      <c r="J41" s="35">
        <v>0</v>
      </c>
      <c r="K41" s="35">
        <v>0</v>
      </c>
      <c r="L41" s="35">
        <v>0</v>
      </c>
      <c r="O41" t="s">
        <v>236</v>
      </c>
    </row>
    <row r="42" spans="1:15" ht="16.5" outlineLevel="1" thickTop="1" thickBot="1" x14ac:dyDescent="0.3">
      <c r="A42" s="81"/>
      <c r="B42" s="28" t="s">
        <v>332</v>
      </c>
      <c r="C42" s="35">
        <v>-1085</v>
      </c>
      <c r="D42" s="35">
        <v>-703</v>
      </c>
      <c r="E42" s="35">
        <v>-406</v>
      </c>
      <c r="F42" s="35">
        <v>-903</v>
      </c>
      <c r="G42" s="35">
        <v>-503</v>
      </c>
      <c r="H42" s="37">
        <f>'Debt Schedule'!H20</f>
        <v>-521</v>
      </c>
      <c r="I42" s="37">
        <f>'Debt Schedule'!I20</f>
        <v>-643</v>
      </c>
      <c r="J42" s="37">
        <f>'Debt Schedule'!J20</f>
        <v>-1060</v>
      </c>
      <c r="K42" s="37">
        <f>'Debt Schedule'!K20</f>
        <v>-503</v>
      </c>
      <c r="L42" s="37">
        <f>'Debt Schedule'!L20</f>
        <v>-616</v>
      </c>
    </row>
    <row r="43" spans="1:15" ht="16.5" outlineLevel="1" thickTop="1" thickBot="1" x14ac:dyDescent="0.3">
      <c r="A43" s="81"/>
      <c r="B43" s="28" t="s">
        <v>333</v>
      </c>
      <c r="C43" s="35">
        <v>0</v>
      </c>
      <c r="D43" s="35">
        <v>699</v>
      </c>
      <c r="E43" s="35">
        <v>1513</v>
      </c>
      <c r="F43" s="35">
        <v>1495</v>
      </c>
      <c r="G43" s="35">
        <v>2</v>
      </c>
      <c r="H43" s="37">
        <f>'Debt Schedule'!H29</f>
        <v>0</v>
      </c>
      <c r="I43" s="37">
        <f>'Debt Schedule'!I29</f>
        <v>1085.1323532802421</v>
      </c>
      <c r="J43" s="37">
        <f>'Debt Schedule'!J29</f>
        <v>1922.0042359820359</v>
      </c>
      <c r="K43" s="37">
        <f>'Debt Schedule'!K29</f>
        <v>874.81348706551069</v>
      </c>
      <c r="L43" s="37">
        <f>'Debt Schedule'!L29</f>
        <v>1273.6837399605763</v>
      </c>
    </row>
    <row r="44" spans="1:15" ht="16.5" outlineLevel="1" thickTop="1" thickBot="1" x14ac:dyDescent="0.3">
      <c r="A44" s="81"/>
      <c r="B44" s="28" t="s">
        <v>316</v>
      </c>
      <c r="C44" s="35">
        <v>-1654</v>
      </c>
      <c r="D44" s="35">
        <v>-1679</v>
      </c>
      <c r="E44" s="35">
        <v>-1691</v>
      </c>
      <c r="F44" s="35">
        <v>-1749</v>
      </c>
      <c r="G44" s="35">
        <v>-1789</v>
      </c>
      <c r="H44" s="37">
        <f>-'Equity Schedule'!H38</f>
        <v>-2225.271118706843</v>
      </c>
      <c r="I44" s="37">
        <f>-'Equity Schedule'!I38</f>
        <v>-2464.0026951090881</v>
      </c>
      <c r="J44" s="37">
        <f>-'Equity Schedule'!J38</f>
        <v>-2653.8388919372728</v>
      </c>
      <c r="K44" s="37">
        <f>-'Equity Schedule'!K38</f>
        <v>-2804.4462594826728</v>
      </c>
      <c r="L44" s="37">
        <f>-'Equity Schedule'!L38</f>
        <v>-3123.9658318258453</v>
      </c>
    </row>
    <row r="45" spans="1:15" ht="16.5" outlineLevel="1" thickTop="1" thickBot="1" x14ac:dyDescent="0.3">
      <c r="A45" s="81"/>
      <c r="B45" s="28" t="s">
        <v>334</v>
      </c>
      <c r="C45" s="35">
        <v>-1476</v>
      </c>
      <c r="D45" s="35">
        <v>-1320</v>
      </c>
      <c r="E45" s="35">
        <v>-1308</v>
      </c>
      <c r="F45" s="35">
        <v>-1128</v>
      </c>
      <c r="G45" s="35">
        <v>-1739</v>
      </c>
      <c r="H45" s="37">
        <f>-'Equity Schedule'!H35</f>
        <v>-1532.6929094164004</v>
      </c>
      <c r="I45" s="37">
        <f>-'Equity Schedule'!I35</f>
        <v>-1722.3478707397719</v>
      </c>
      <c r="J45" s="37">
        <f>-'Equity Schedule'!J35</f>
        <v>-1901.5187059036211</v>
      </c>
      <c r="K45" s="37">
        <f>-'Equity Schedule'!K35</f>
        <v>-2067.933817679504</v>
      </c>
      <c r="L45" s="37">
        <f>-'Equity Schedule'!L35</f>
        <v>-2489.6851178723132</v>
      </c>
    </row>
    <row r="46" spans="1:15" ht="16.5" outlineLevel="1" thickTop="1" thickBot="1" x14ac:dyDescent="0.3">
      <c r="A46" s="81"/>
      <c r="B46" s="28" t="s">
        <v>335</v>
      </c>
      <c r="C46" s="35">
        <v>874</v>
      </c>
      <c r="D46" s="35">
        <v>424</v>
      </c>
      <c r="E46" s="35">
        <v>418</v>
      </c>
      <c r="F46" s="35">
        <v>380</v>
      </c>
      <c r="G46" s="35">
        <v>638</v>
      </c>
      <c r="H46" s="37">
        <f>'Equity Schedule'!H45</f>
        <v>569.47986597202294</v>
      </c>
      <c r="I46" s="37">
        <f>'Equity Schedule'!I45</f>
        <v>490.64551851719386</v>
      </c>
      <c r="J46" s="37">
        <f>'Equity Schedule'!J45</f>
        <v>502.46471084870797</v>
      </c>
      <c r="K46" s="37">
        <f>'Equity Schedule'!K45</f>
        <v>519.97393673592808</v>
      </c>
      <c r="L46" s="37">
        <f>'Equity Schedule'!L45</f>
        <v>550.33534531970122</v>
      </c>
      <c r="O46" t="s">
        <v>232</v>
      </c>
    </row>
    <row r="47" spans="1:15" ht="16.5" outlineLevel="1" thickTop="1" thickBot="1" x14ac:dyDescent="0.3">
      <c r="A47" s="81"/>
      <c r="B47" s="28" t="s">
        <v>336</v>
      </c>
      <c r="C47" s="35">
        <v>-99</v>
      </c>
      <c r="D47" s="35">
        <v>0</v>
      </c>
      <c r="E47" s="35">
        <v>0</v>
      </c>
      <c r="F47" s="35">
        <v>0</v>
      </c>
      <c r="G47" s="35">
        <v>0</v>
      </c>
      <c r="H47" s="35">
        <v>0</v>
      </c>
      <c r="I47" s="35">
        <v>0</v>
      </c>
      <c r="J47" s="35">
        <v>0</v>
      </c>
      <c r="K47" s="35">
        <v>0</v>
      </c>
      <c r="L47" s="35">
        <v>0</v>
      </c>
    </row>
    <row r="48" spans="1:15" ht="15.75" outlineLevel="1" thickTop="1" x14ac:dyDescent="0.25">
      <c r="A48" s="81"/>
      <c r="B48" s="36" t="s">
        <v>317</v>
      </c>
      <c r="C48" s="35">
        <v>33</v>
      </c>
      <c r="D48" s="35">
        <v>-24</v>
      </c>
      <c r="E48" s="35">
        <v>-18</v>
      </c>
      <c r="F48" s="35">
        <v>18</v>
      </c>
      <c r="G48" s="35">
        <v>-91</v>
      </c>
      <c r="H48" s="35">
        <v>0</v>
      </c>
      <c r="I48" s="35">
        <v>0</v>
      </c>
      <c r="J48" s="35">
        <v>0</v>
      </c>
      <c r="K48" s="35">
        <v>0</v>
      </c>
      <c r="L48" s="35">
        <v>0</v>
      </c>
    </row>
    <row r="49" spans="1:18" ht="15.75" outlineLevel="1" thickBot="1" x14ac:dyDescent="0.3">
      <c r="A49" s="81"/>
      <c r="B49" s="151" t="s">
        <v>272</v>
      </c>
      <c r="C49" s="155">
        <f>SUM(C41:C48)</f>
        <v>-2919</v>
      </c>
      <c r="D49" s="155">
        <f>SUM(D41:D48)</f>
        <v>-2774</v>
      </c>
      <c r="E49" s="155">
        <f>SUM(E41:E48)</f>
        <v>-952</v>
      </c>
      <c r="F49" s="155">
        <f>SUM(F41:F48)</f>
        <v>-2793</v>
      </c>
      <c r="G49" s="155">
        <f>SUM(G41:G48)</f>
        <v>-3389</v>
      </c>
      <c r="H49" s="155">
        <f t="shared" ref="H49:L49" si="3">SUM(H41:H48)</f>
        <v>-3709.4841621512205</v>
      </c>
      <c r="I49" s="155">
        <f t="shared" si="3"/>
        <v>-3253.5726940514237</v>
      </c>
      <c r="J49" s="155">
        <f t="shared" si="3"/>
        <v>-3190.8886510101502</v>
      </c>
      <c r="K49" s="155">
        <f t="shared" si="3"/>
        <v>-3980.592653360738</v>
      </c>
      <c r="L49" s="155">
        <f t="shared" si="3"/>
        <v>-4405.6318644178809</v>
      </c>
      <c r="O49" s="32">
        <f>G49+G38+G29+G52</f>
        <v>130</v>
      </c>
    </row>
    <row r="50" spans="1:18" ht="16.5" thickTop="1" thickBot="1" x14ac:dyDescent="0.3">
      <c r="A50" s="81"/>
    </row>
    <row r="51" spans="1:18" ht="19.899999999999999" customHeight="1" thickTop="1" thickBot="1" x14ac:dyDescent="0.3">
      <c r="A51" s="81" t="s">
        <v>120</v>
      </c>
      <c r="B51" s="205" t="s">
        <v>122</v>
      </c>
      <c r="C51" s="122"/>
      <c r="D51" s="123"/>
      <c r="E51" s="123"/>
      <c r="F51" s="123"/>
      <c r="G51" s="123"/>
      <c r="H51" s="123"/>
      <c r="I51" s="123"/>
      <c r="J51" s="123"/>
      <c r="K51" s="123"/>
      <c r="L51" s="185"/>
    </row>
    <row r="52" spans="1:18" ht="15.75" outlineLevel="1" thickTop="1" x14ac:dyDescent="0.25">
      <c r="A52" s="81"/>
      <c r="B52" s="36" t="s">
        <v>337</v>
      </c>
      <c r="C52" s="35">
        <v>-16</v>
      </c>
      <c r="D52" s="35">
        <v>-15</v>
      </c>
      <c r="E52" s="35">
        <v>-60</v>
      </c>
      <c r="F52" s="35">
        <v>-19</v>
      </c>
      <c r="G52" s="35">
        <v>-54</v>
      </c>
      <c r="H52" s="187">
        <v>0</v>
      </c>
      <c r="I52" s="187">
        <v>0</v>
      </c>
      <c r="J52" s="187">
        <v>0</v>
      </c>
      <c r="K52" s="187">
        <v>0</v>
      </c>
      <c r="L52" s="187">
        <v>0</v>
      </c>
      <c r="O52" t="s">
        <v>232</v>
      </c>
    </row>
    <row r="53" spans="1:18" ht="15.75" outlineLevel="1" thickBot="1" x14ac:dyDescent="0.3">
      <c r="A53" s="81"/>
      <c r="B53" s="151" t="s">
        <v>338</v>
      </c>
      <c r="C53" s="155">
        <f>SUM(C49,C52,C38,C29)</f>
        <v>5</v>
      </c>
      <c r="D53" s="155">
        <f>SUM(D49,D52,D38,D29)</f>
        <v>-56</v>
      </c>
      <c r="E53" s="155">
        <f>SUM(E49,E52,E38,E29)</f>
        <v>-57</v>
      </c>
      <c r="F53" s="155">
        <f>SUM(F49,F52,F38,F29)</f>
        <v>191</v>
      </c>
      <c r="G53" s="155">
        <f>SUM(G49,G52,G38,G29)</f>
        <v>130</v>
      </c>
      <c r="H53" s="155">
        <f t="shared" ref="H53:L53" si="4">SUM(H49,H52,H38,H29)</f>
        <v>-685.03794035405826</v>
      </c>
      <c r="I53" s="155">
        <f t="shared" si="4"/>
        <v>-310.96205964594128</v>
      </c>
      <c r="J53" s="155">
        <f t="shared" si="4"/>
        <v>0</v>
      </c>
      <c r="K53" s="155">
        <f t="shared" si="4"/>
        <v>0</v>
      </c>
      <c r="L53" s="155">
        <f t="shared" si="4"/>
        <v>0</v>
      </c>
    </row>
    <row r="54" spans="1:18" ht="15.75" outlineLevel="1" thickTop="1" x14ac:dyDescent="0.25">
      <c r="A54" s="81"/>
      <c r="B54" s="36" t="s">
        <v>275</v>
      </c>
      <c r="C54" s="35">
        <v>883</v>
      </c>
      <c r="D54" s="37">
        <f>BS!C13</f>
        <v>888</v>
      </c>
      <c r="E54" s="37">
        <f>BS!D13</f>
        <v>832</v>
      </c>
      <c r="F54" s="37">
        <f>BS!E13</f>
        <v>775</v>
      </c>
      <c r="G54" s="37">
        <f>BS!F13</f>
        <v>966</v>
      </c>
      <c r="H54" s="190">
        <f>G55</f>
        <v>1096</v>
      </c>
      <c r="I54" s="190">
        <f t="shared" ref="I54:L54" si="5">H55</f>
        <v>410.96205964594174</v>
      </c>
      <c r="J54" s="190">
        <f t="shared" si="5"/>
        <v>100.00000000000045</v>
      </c>
      <c r="K54" s="190">
        <f t="shared" si="5"/>
        <v>100.00000000000045</v>
      </c>
      <c r="L54" s="190">
        <f t="shared" si="5"/>
        <v>100.00000000000045</v>
      </c>
      <c r="O54" t="s">
        <v>238</v>
      </c>
    </row>
    <row r="55" spans="1:18" ht="15.75" outlineLevel="1" thickBot="1" x14ac:dyDescent="0.3">
      <c r="A55" s="81"/>
      <c r="B55" s="151" t="s">
        <v>276</v>
      </c>
      <c r="C55" s="155">
        <f>C53+C54</f>
        <v>888</v>
      </c>
      <c r="D55" s="155">
        <f>D53+D54</f>
        <v>832</v>
      </c>
      <c r="E55" s="155">
        <f>E53+E54</f>
        <v>775</v>
      </c>
      <c r="F55" s="155">
        <f>F53+F54</f>
        <v>966</v>
      </c>
      <c r="G55" s="155">
        <f>G53+G54</f>
        <v>1096</v>
      </c>
      <c r="H55" s="155">
        <f t="shared" ref="H55:L55" si="6">H53+H54</f>
        <v>410.96205964594174</v>
      </c>
      <c r="I55" s="155">
        <f t="shared" si="6"/>
        <v>100.00000000000045</v>
      </c>
      <c r="J55" s="155">
        <f t="shared" si="6"/>
        <v>100.00000000000045</v>
      </c>
      <c r="K55" s="155">
        <f t="shared" si="6"/>
        <v>100.00000000000045</v>
      </c>
      <c r="L55" s="155">
        <f t="shared" si="6"/>
        <v>100.00000000000045</v>
      </c>
    </row>
    <row r="56" spans="1:18" ht="16.5" thickTop="1" thickBot="1" x14ac:dyDescent="0.3">
      <c r="A56" s="81"/>
      <c r="B56" s="4"/>
      <c r="C56" s="32"/>
      <c r="D56" s="32"/>
      <c r="E56" s="32"/>
      <c r="F56" s="32"/>
      <c r="G56" s="32"/>
      <c r="H56" s="32"/>
      <c r="I56" s="32"/>
      <c r="J56" s="32"/>
      <c r="K56" s="32"/>
      <c r="L56" s="32"/>
    </row>
    <row r="57" spans="1:18" ht="16.5" thickTop="1" thickBot="1" x14ac:dyDescent="0.3">
      <c r="A57" s="81" t="s">
        <v>59</v>
      </c>
      <c r="B57" s="205" t="s">
        <v>43</v>
      </c>
      <c r="C57" s="122"/>
      <c r="D57" s="123"/>
      <c r="E57" s="123"/>
      <c r="F57" s="123"/>
      <c r="G57" s="123"/>
      <c r="H57" s="123"/>
      <c r="I57" s="123"/>
      <c r="J57" s="123"/>
      <c r="K57" s="123"/>
      <c r="L57" s="185"/>
    </row>
    <row r="58" spans="1:18" ht="16.5" outlineLevel="1" thickTop="1" thickBot="1" x14ac:dyDescent="0.3">
      <c r="B58" s="28" t="s">
        <v>269</v>
      </c>
      <c r="C58" s="35">
        <v>845</v>
      </c>
      <c r="D58" s="35">
        <v>890</v>
      </c>
      <c r="E58" s="35">
        <v>945</v>
      </c>
      <c r="F58" s="35">
        <v>937</v>
      </c>
      <c r="G58" s="35">
        <v>933</v>
      </c>
      <c r="H58" s="37">
        <f>IS!H21</f>
        <v>1044.3141091256325</v>
      </c>
      <c r="I58" s="37">
        <f>IS!I21</f>
        <v>1119.8125664736096</v>
      </c>
      <c r="J58" s="37">
        <f>IS!J21</f>
        <v>1207.6183348032623</v>
      </c>
      <c r="K58" s="37">
        <f>IS!K21</f>
        <v>1331.0509406095546</v>
      </c>
      <c r="L58" s="37">
        <f>IS!L21</f>
        <v>1495.4446833208103</v>
      </c>
    </row>
    <row r="59" spans="1:18" ht="16.5" outlineLevel="1" thickTop="1" thickBot="1" x14ac:dyDescent="0.3">
      <c r="B59" s="28" t="s">
        <v>270</v>
      </c>
      <c r="C59" s="35">
        <v>188</v>
      </c>
      <c r="D59" s="35">
        <v>194</v>
      </c>
      <c r="E59" s="35">
        <v>151</v>
      </c>
      <c r="F59" s="35">
        <v>280</v>
      </c>
      <c r="G59" s="35">
        <v>302</v>
      </c>
      <c r="H59" s="37">
        <f>'Debt Schedule'!H47</f>
        <v>246</v>
      </c>
      <c r="I59" s="37">
        <f>'Debt Schedule'!I47</f>
        <v>196</v>
      </c>
      <c r="J59" s="37">
        <f>'Debt Schedule'!J47</f>
        <v>162</v>
      </c>
      <c r="K59" s="37">
        <f>'Debt Schedule'!K47</f>
        <v>148</v>
      </c>
      <c r="L59" s="37">
        <f>'Debt Schedule'!L47</f>
        <v>122</v>
      </c>
      <c r="P59" s="163"/>
      <c r="Q59" s="163"/>
      <c r="R59" s="163"/>
    </row>
    <row r="60" spans="1:18" ht="15.75" thickTop="1" x14ac:dyDescent="0.25">
      <c r="P60" s="7"/>
      <c r="Q60" s="7"/>
      <c r="R60" s="7"/>
    </row>
    <row r="61" spans="1:18" s="29" customFormat="1" x14ac:dyDescent="0.25">
      <c r="B61" s="29" t="s">
        <v>39</v>
      </c>
      <c r="C61" s="38">
        <f>C55-BS!C13</f>
        <v>0</v>
      </c>
      <c r="D61" s="38">
        <f>D55-BS!D13</f>
        <v>0</v>
      </c>
      <c r="E61" s="38">
        <f>E55-BS!E13</f>
        <v>0</v>
      </c>
      <c r="F61" s="38">
        <f>F55-BS!F13</f>
        <v>0</v>
      </c>
      <c r="G61" s="38">
        <f>G55-BS!G13</f>
        <v>0</v>
      </c>
      <c r="H61" s="38">
        <f>H55-BS!H13</f>
        <v>0</v>
      </c>
      <c r="I61" s="38">
        <f>I55-BS!I13</f>
        <v>0</v>
      </c>
      <c r="J61" s="38">
        <f>J55-BS!J13</f>
        <v>0</v>
      </c>
      <c r="K61" s="38">
        <f>K55-BS!K13</f>
        <v>0</v>
      </c>
      <c r="L61" s="38">
        <f>L55-BS!L13</f>
        <v>0</v>
      </c>
      <c r="P61" s="38"/>
      <c r="Q61" s="38"/>
      <c r="R61" s="38"/>
    </row>
    <row r="62" spans="1:18" s="29" customFormat="1" x14ac:dyDescent="0.25">
      <c r="C62" s="38"/>
      <c r="D62" s="38"/>
      <c r="E62" s="38"/>
      <c r="F62" s="38"/>
      <c r="G62" s="38"/>
      <c r="P62" s="38"/>
      <c r="Q62" s="38"/>
      <c r="R62" s="38"/>
    </row>
    <row r="63" spans="1:18" x14ac:dyDescent="0.25">
      <c r="B63" s="23" t="s">
        <v>22</v>
      </c>
      <c r="P63" s="163"/>
      <c r="Q63" s="163"/>
      <c r="R63" s="163"/>
    </row>
    <row r="64" spans="1:18" x14ac:dyDescent="0.25">
      <c r="B64" t="s">
        <v>23</v>
      </c>
      <c r="P64" s="163"/>
      <c r="Q64" s="163"/>
      <c r="R64" s="163"/>
    </row>
  </sheetData>
  <pageMargins left="0.70866141732283472" right="0.70866141732283472" top="0.74803149606299213" bottom="0.74803149606299213" header="0.31496062992125984" footer="0.31496062992125984"/>
  <pageSetup scale="4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85CD-B971-4F7E-8A71-C348EACAC8E8}">
  <sheetPr>
    <tabColor rgb="FFB00000"/>
  </sheetPr>
  <dimension ref="A1"/>
  <sheetViews>
    <sheetView view="pageBreakPreview" zoomScale="80" zoomScaleNormal="100" zoomScaleSheetLayoutView="80" workbookViewId="0"/>
  </sheetViews>
  <sheetFormatPr defaultRowHeight="15" x14ac:dyDescent="0.25"/>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AC4D-ECD6-4AA0-ADA9-44CC7178BF94}">
  <dimension ref="A1:Q81"/>
  <sheetViews>
    <sheetView showGridLines="0" view="pageBreakPreview" zoomScale="80" zoomScaleNormal="80" zoomScaleSheetLayoutView="80" workbookViewId="0">
      <pane xSplit="2" ySplit="13" topLeftCell="C37" activePane="bottomRight" state="frozen"/>
      <selection pane="topRight"/>
      <selection pane="bottomLeft"/>
      <selection pane="bottomRight" activeCell="H44" sqref="H44"/>
    </sheetView>
  </sheetViews>
  <sheetFormatPr defaultRowHeight="15" x14ac:dyDescent="0.25"/>
  <cols>
    <col min="1" max="1" width="3" bestFit="1" customWidth="1"/>
    <col min="2" max="2" width="46.28515625" bestFit="1" customWidth="1"/>
    <col min="3" max="4" width="10.42578125" bestFit="1" customWidth="1"/>
    <col min="8" max="8" width="10.28515625" bestFit="1" customWidth="1"/>
    <col min="9" max="10" width="9.28515625" bestFit="1" customWidth="1"/>
    <col min="11" max="12" width="10.28515625" bestFit="1" customWidth="1"/>
    <col min="13" max="13" width="3" bestFit="1" customWidth="1"/>
    <col min="15" max="16" width="11.140625" bestFit="1" customWidth="1"/>
  </cols>
  <sheetData>
    <row r="1" spans="1:17" x14ac:dyDescent="0.25">
      <c r="P1" s="8"/>
      <c r="Q1" s="156"/>
    </row>
    <row r="7" spans="1:17" x14ac:dyDescent="0.25">
      <c r="A7" s="31"/>
    </row>
    <row r="8" spans="1:17" ht="15.75" thickBot="1" x14ac:dyDescent="0.3">
      <c r="A8" s="31"/>
    </row>
    <row r="9" spans="1:17" ht="16.5" thickTop="1" thickBot="1" x14ac:dyDescent="0.3">
      <c r="B9" s="119" t="s">
        <v>203</v>
      </c>
    </row>
    <row r="10" spans="1:17" ht="16.5" thickTop="1" thickBot="1" x14ac:dyDescent="0.3">
      <c r="B10" s="121">
        <v>2</v>
      </c>
      <c r="C10" s="7"/>
    </row>
    <row r="11" spans="1:17" ht="16.5" thickTop="1" thickBot="1" x14ac:dyDescent="0.3"/>
    <row r="12" spans="1:17" ht="18.75" thickTop="1" thickBot="1" x14ac:dyDescent="0.3">
      <c r="B12" s="12" t="s">
        <v>20</v>
      </c>
      <c r="C12" s="666" t="s">
        <v>21</v>
      </c>
      <c r="D12" s="666"/>
      <c r="E12" s="666"/>
      <c r="F12" s="666"/>
      <c r="G12" s="666"/>
      <c r="H12" s="666" t="s">
        <v>67</v>
      </c>
      <c r="I12" s="666"/>
      <c r="J12" s="666"/>
      <c r="K12" s="666"/>
      <c r="L12" s="666"/>
    </row>
    <row r="13" spans="1:17" ht="16.5" thickTop="1" thickBot="1" x14ac:dyDescent="0.3">
      <c r="B13" s="13"/>
      <c r="C13" s="128">
        <v>2020</v>
      </c>
      <c r="D13" s="128">
        <f>C13+1</f>
        <v>2021</v>
      </c>
      <c r="E13" s="128">
        <f t="shared" ref="E13:L13" si="0">D13+1</f>
        <v>2022</v>
      </c>
      <c r="F13" s="128">
        <f t="shared" si="0"/>
        <v>2023</v>
      </c>
      <c r="G13" s="128">
        <f t="shared" si="0"/>
        <v>2024</v>
      </c>
      <c r="H13" s="129">
        <f t="shared" si="0"/>
        <v>2025</v>
      </c>
      <c r="I13" s="129">
        <f t="shared" si="0"/>
        <v>2026</v>
      </c>
      <c r="J13" s="129">
        <f t="shared" si="0"/>
        <v>2027</v>
      </c>
      <c r="K13" s="129">
        <f t="shared" si="0"/>
        <v>2028</v>
      </c>
      <c r="L13" s="129">
        <f t="shared" si="0"/>
        <v>2029</v>
      </c>
    </row>
    <row r="14" spans="1:17" ht="16.5" thickTop="1" thickBot="1" x14ac:dyDescent="0.3">
      <c r="A14" s="31" t="s">
        <v>57</v>
      </c>
      <c r="B14" s="12" t="s">
        <v>69</v>
      </c>
      <c r="C14" s="86"/>
      <c r="D14" s="87"/>
      <c r="E14" s="87"/>
      <c r="F14" s="87"/>
      <c r="G14" s="87"/>
      <c r="H14" s="87"/>
      <c r="I14" s="87"/>
      <c r="J14" s="87"/>
      <c r="K14" s="87"/>
      <c r="L14" s="88"/>
    </row>
    <row r="15" spans="1:17" ht="16.5" thickTop="1" thickBot="1" x14ac:dyDescent="0.3">
      <c r="B15" s="324" t="s">
        <v>133</v>
      </c>
      <c r="C15" s="84"/>
      <c r="D15" s="84"/>
      <c r="E15" s="85"/>
      <c r="F15" s="85"/>
      <c r="G15" s="85"/>
      <c r="H15" s="85"/>
      <c r="I15" s="85"/>
      <c r="J15" s="85"/>
      <c r="K15" s="85"/>
      <c r="L15" s="85"/>
    </row>
    <row r="16" spans="1:17" ht="16.5" thickTop="1" thickBot="1" x14ac:dyDescent="0.3">
      <c r="B16" s="325" t="s">
        <v>135</v>
      </c>
      <c r="C16" s="14">
        <v>3741</v>
      </c>
      <c r="D16" s="15">
        <v>3694</v>
      </c>
      <c r="E16" s="15">
        <v>3816</v>
      </c>
      <c r="F16" s="15">
        <v>3925</v>
      </c>
      <c r="G16" s="15">
        <v>4113</v>
      </c>
      <c r="H16" s="118">
        <f>G16*(1+H17)</f>
        <v>4310.4161407643305</v>
      </c>
      <c r="I16" s="118">
        <f t="shared" ref="I16:L16" si="1">H16*(1+I17)</f>
        <v>4518.3854830922464</v>
      </c>
      <c r="J16" s="118">
        <f t="shared" si="1"/>
        <v>4737.5185451646084</v>
      </c>
      <c r="K16" s="118">
        <f t="shared" si="1"/>
        <v>4968.4635216581755</v>
      </c>
      <c r="L16" s="118">
        <f t="shared" si="1"/>
        <v>5211.9087403400854</v>
      </c>
    </row>
    <row r="17" spans="1:16" s="29" customFormat="1" ht="16.5" thickTop="1" thickBot="1" x14ac:dyDescent="0.3">
      <c r="B17" s="326" t="s">
        <v>202</v>
      </c>
      <c r="C17" s="113">
        <f>C16/3348-1</f>
        <v>0.11738351254480284</v>
      </c>
      <c r="D17" s="113">
        <f>D16/C16-1</f>
        <v>-1.2563485699011001E-2</v>
      </c>
      <c r="E17" s="113">
        <f t="shared" ref="E17:G17" si="2">E16/D16-1</f>
        <v>3.302652950730911E-2</v>
      </c>
      <c r="F17" s="113">
        <f t="shared" si="2"/>
        <v>2.8563941299790452E-2</v>
      </c>
      <c r="G17" s="113">
        <f t="shared" si="2"/>
        <v>4.7898089171974467E-2</v>
      </c>
      <c r="H17" s="113">
        <f>CHOOSE($B$10,H56,H57)</f>
        <v>4.799808917197447E-2</v>
      </c>
      <c r="I17" s="113">
        <f>CHOOSE($B$10,I56,I57)</f>
        <v>4.824808917197447E-2</v>
      </c>
      <c r="J17" s="113">
        <f>CHOOSE($B$10,J56,J57)</f>
        <v>4.8498089171974471E-2</v>
      </c>
      <c r="K17" s="113">
        <f>CHOOSE($B$10,K56,K57)</f>
        <v>4.8748089171974471E-2</v>
      </c>
      <c r="L17" s="113">
        <f>CHOOSE($B$10,L56,L57)</f>
        <v>4.8998089171974471E-2</v>
      </c>
      <c r="O17" s="211"/>
      <c r="P17" s="211"/>
    </row>
    <row r="18" spans="1:16" ht="16.5" thickTop="1" thickBot="1" x14ac:dyDescent="0.3">
      <c r="B18" s="325" t="s">
        <v>136</v>
      </c>
      <c r="C18" s="14">
        <v>3418</v>
      </c>
      <c r="D18" s="15">
        <v>3663</v>
      </c>
      <c r="E18" s="15">
        <v>3982</v>
      </c>
      <c r="F18" s="15">
        <v>4640</v>
      </c>
      <c r="G18" s="15">
        <v>4782</v>
      </c>
      <c r="H18" s="118">
        <f>G18*(1+H19)</f>
        <v>5071.5415658003994</v>
      </c>
      <c r="I18" s="118">
        <f t="shared" ref="I18" si="3">H18*(1+I19)</f>
        <v>5353.2566488504553</v>
      </c>
      <c r="J18" s="118">
        <f t="shared" ref="J18" si="4">I18*(1+J19)</f>
        <v>5655.9737586497749</v>
      </c>
      <c r="K18" s="118">
        <f t="shared" ref="K18" si="5">J18*(1+K19)</f>
        <v>5981.4649545225966</v>
      </c>
      <c r="L18" s="118">
        <f t="shared" ref="L18" si="6">K18*(1+L19)</f>
        <v>6325.6875878298115</v>
      </c>
    </row>
    <row r="19" spans="1:16" s="29" customFormat="1" ht="16.5" thickTop="1" thickBot="1" x14ac:dyDescent="0.3">
      <c r="B19" s="326" t="s">
        <v>202</v>
      </c>
      <c r="C19" s="113">
        <f>C18/3605-1</f>
        <v>-5.1872399445214934E-2</v>
      </c>
      <c r="D19" s="113">
        <f>D18/C18-1</f>
        <v>7.1679344645991794E-2</v>
      </c>
      <c r="E19" s="113">
        <f t="shared" ref="E19" si="7">E18/D18-1</f>
        <v>8.7087087087087012E-2</v>
      </c>
      <c r="F19" s="113">
        <f t="shared" ref="F19" si="8">F18/E18-1</f>
        <v>0.16524359618282269</v>
      </c>
      <c r="G19" s="113">
        <f t="shared" ref="G19" si="9">G18/F18-1</f>
        <v>3.0603448275862144E-2</v>
      </c>
      <c r="H19" s="113">
        <f>CHOOSE($B$10,H59,H60)</f>
        <v>6.0548215349309743E-2</v>
      </c>
      <c r="I19" s="113">
        <f>CHOOSE($B$10,I59,I60)</f>
        <v>5.5548215349309746E-2</v>
      </c>
      <c r="J19" s="113">
        <f>CHOOSE($B$10,J59,J60)</f>
        <v>5.6548215349309747E-2</v>
      </c>
      <c r="K19" s="113">
        <f>CHOOSE($B$10,K59,K60)</f>
        <v>5.7548215349309748E-2</v>
      </c>
      <c r="L19" s="113">
        <f>CHOOSE($B$10,L59,L60)</f>
        <v>5.7548215349309748E-2</v>
      </c>
      <c r="O19" s="545"/>
      <c r="P19" s="545"/>
    </row>
    <row r="20" spans="1:16" ht="16.5" thickTop="1" thickBot="1" x14ac:dyDescent="0.3">
      <c r="B20" s="325" t="s">
        <v>137</v>
      </c>
      <c r="C20" s="14">
        <v>2747</v>
      </c>
      <c r="D20" s="15">
        <v>2841</v>
      </c>
      <c r="E20" s="15">
        <v>2548</v>
      </c>
      <c r="F20" s="15">
        <v>2737</v>
      </c>
      <c r="G20" s="15">
        <v>2770</v>
      </c>
      <c r="H20" s="118">
        <f>G20*(1+H21)</f>
        <v>2833.843476308853</v>
      </c>
      <c r="I20" s="118">
        <f t="shared" ref="I20" si="10">H20*(1+I21)</f>
        <v>2899.4418133072863</v>
      </c>
      <c r="J20" s="118">
        <f t="shared" ref="J20" si="11">I20*(1+J21)</f>
        <v>2967.2834932909627</v>
      </c>
      <c r="K20" s="118">
        <f t="shared" ref="K20" si="12">J20*(1+K21)</f>
        <v>3037.4543664214407</v>
      </c>
      <c r="L20" s="118">
        <f t="shared" ref="L20" si="13">K20*(1+L21)</f>
        <v>3110.0440170306788</v>
      </c>
    </row>
    <row r="21" spans="1:16" s="29" customFormat="1" ht="16.5" thickTop="1" thickBot="1" x14ac:dyDescent="0.3">
      <c r="B21" s="326" t="s">
        <v>202</v>
      </c>
      <c r="C21" s="113">
        <f>C20/2502-1</f>
        <v>9.7921662669864018E-2</v>
      </c>
      <c r="D21" s="113">
        <f>D20/C20-1</f>
        <v>3.4219148161630963E-2</v>
      </c>
      <c r="E21" s="113">
        <f t="shared" ref="E21" si="14">E20/D20-1</f>
        <v>-0.10313269975360784</v>
      </c>
      <c r="F21" s="113">
        <f t="shared" ref="F21" si="15">F20/E20-1</f>
        <v>7.4175824175824134E-2</v>
      </c>
      <c r="G21" s="113">
        <f t="shared" ref="G21" si="16">G20/F20-1</f>
        <v>1.2056996711728107E-2</v>
      </c>
      <c r="H21" s="113">
        <f>CHOOSE($B$10,H62,H63)</f>
        <v>2.3048186393087877E-2</v>
      </c>
      <c r="I21" s="113">
        <f>CHOOSE($B$10,I62,I63)</f>
        <v>2.3148186393087876E-2</v>
      </c>
      <c r="J21" s="113">
        <f>CHOOSE($B$10,J62,J63)</f>
        <v>2.3398186393087876E-2</v>
      </c>
      <c r="K21" s="113">
        <f>CHOOSE($B$10,K62,K63)</f>
        <v>2.3648186393087876E-2</v>
      </c>
      <c r="L21" s="113">
        <f>CHOOSE($B$10,L62,L63)</f>
        <v>2.3898186393087877E-2</v>
      </c>
      <c r="O21" s="211"/>
      <c r="P21" s="211"/>
    </row>
    <row r="22" spans="1:16" ht="16.5" thickTop="1" thickBot="1" x14ac:dyDescent="0.3">
      <c r="B22" s="325" t="s">
        <v>138</v>
      </c>
      <c r="C22" s="14">
        <v>2701</v>
      </c>
      <c r="D22" s="15">
        <v>2867</v>
      </c>
      <c r="E22" s="15">
        <v>2826</v>
      </c>
      <c r="F22" s="15">
        <v>2782</v>
      </c>
      <c r="G22" s="15">
        <v>2858</v>
      </c>
      <c r="H22" s="118">
        <f>G22*(1+H23)</f>
        <v>2884.771798036244</v>
      </c>
      <c r="I22" s="118">
        <f t="shared" ref="I22" si="17">H22*(1+I23)</f>
        <v>2924.1628616090679</v>
      </c>
      <c r="J22" s="118">
        <f t="shared" ref="J22" si="18">I22*(1+J23)</f>
        <v>2936.134531027536</v>
      </c>
      <c r="K22" s="118">
        <f t="shared" ref="K22" si="19">J22*(1+K23)</f>
        <v>2958.9570833897701</v>
      </c>
      <c r="L22" s="118">
        <f t="shared" ref="L22" si="20">K22*(1+L23)</f>
        <v>2995.771046306581</v>
      </c>
    </row>
    <row r="23" spans="1:16" s="29" customFormat="1" ht="16.5" thickTop="1" thickBot="1" x14ac:dyDescent="0.3">
      <c r="B23" s="326" t="s">
        <v>202</v>
      </c>
      <c r="C23" s="113">
        <f>C22/2734-1</f>
        <v>-1.2070226773957526E-2</v>
      </c>
      <c r="D23" s="113">
        <f>D22/C22-1</f>
        <v>6.1458718992965622E-2</v>
      </c>
      <c r="E23" s="113">
        <f t="shared" ref="E23" si="21">E22/D22-1</f>
        <v>-1.4300662713637946E-2</v>
      </c>
      <c r="F23" s="113">
        <f t="shared" ref="F23" si="22">F22/E22-1</f>
        <v>-1.556970983722572E-2</v>
      </c>
      <c r="G23" s="113">
        <f t="shared" ref="G23" si="23">G22/F22-1</f>
        <v>2.7318475916606744E-2</v>
      </c>
      <c r="H23" s="113">
        <f>CHOOSE($B$10,H65,H66)</f>
        <v>9.3673191169502349E-3</v>
      </c>
      <c r="I23" s="113">
        <f>CHOOSE($B$10,I65,I66)</f>
        <v>1.3654828295131788E-2</v>
      </c>
      <c r="J23" s="113">
        <f>CHOOSE($B$10,J65,J66)</f>
        <v>4.0940501555650193E-3</v>
      </c>
      <c r="K23" s="113">
        <f>CHOOSE($B$10,K65,K66)</f>
        <v>7.7729927294056134E-3</v>
      </c>
      <c r="L23" s="113">
        <f>CHOOSE($B$10,L65,L66)</f>
        <v>1.2441533242731879E-2</v>
      </c>
      <c r="O23" s="211"/>
      <c r="P23" s="211"/>
    </row>
    <row r="24" spans="1:16" ht="16.5" thickTop="1" thickBot="1" x14ac:dyDescent="0.3">
      <c r="B24" s="325" t="s">
        <v>139</v>
      </c>
      <c r="C24" s="14">
        <v>981</v>
      </c>
      <c r="D24" s="15">
        <v>1045</v>
      </c>
      <c r="E24" s="15">
        <v>1082</v>
      </c>
      <c r="F24" s="15">
        <v>1083</v>
      </c>
      <c r="G24" s="15">
        <v>1095</v>
      </c>
      <c r="H24" s="118">
        <f>G24*(1+H25)</f>
        <v>1122.8411553315759</v>
      </c>
      <c r="I24" s="118">
        <f t="shared" ref="I24" si="24">H24*(1+I25)</f>
        <v>1153.8487528222445</v>
      </c>
      <c r="J24" s="118">
        <f t="shared" ref="J24" si="25">I24*(1+J25)</f>
        <v>1177.0300957886059</v>
      </c>
      <c r="K24" s="118">
        <f t="shared" ref="K24" si="26">J24*(1+K25)</f>
        <v>1197.0716257770034</v>
      </c>
      <c r="L24" s="118">
        <f t="shared" ref="L24" si="27">K24*(1+L25)</f>
        <v>1221.3096930234462</v>
      </c>
    </row>
    <row r="25" spans="1:16" s="29" customFormat="1" ht="16.5" thickTop="1" thickBot="1" x14ac:dyDescent="0.3">
      <c r="B25" s="326" t="s">
        <v>202</v>
      </c>
      <c r="C25" s="113">
        <f>C24/967-1</f>
        <v>1.4477766287487093E-2</v>
      </c>
      <c r="D25" s="113">
        <f>D24/C24-1</f>
        <v>6.523955147808369E-2</v>
      </c>
      <c r="E25" s="113">
        <f t="shared" ref="E25" si="28">E24/D24-1</f>
        <v>3.5406698564593331E-2</v>
      </c>
      <c r="F25" s="113">
        <f t="shared" ref="F25" si="29">F24/E24-1</f>
        <v>9.242144177448175E-4</v>
      </c>
      <c r="G25" s="113">
        <f t="shared" ref="G25" si="30">G24/F24-1</f>
        <v>1.1080332409972193E-2</v>
      </c>
      <c r="H25" s="113">
        <f>CHOOSE($B$10,H68,H69)</f>
        <v>2.5425712631576225E-2</v>
      </c>
      <c r="I25" s="113">
        <f>CHOOSE($B$10,I68,I69)</f>
        <v>2.7615301900394053E-2</v>
      </c>
      <c r="J25" s="113">
        <f>CHOOSE($B$10,J68,J69)</f>
        <v>2.0090451984856122E-2</v>
      </c>
      <c r="K25" s="113">
        <f>CHOOSE($B$10,K68,K69)</f>
        <v>1.702720266890868E-2</v>
      </c>
      <c r="L25" s="113">
        <f>CHOOSE($B$10,L68,L69)</f>
        <v>2.0247800319141453E-2</v>
      </c>
      <c r="O25" s="211"/>
      <c r="P25" s="211"/>
    </row>
    <row r="26" spans="1:16" ht="16.5" thickTop="1" thickBot="1" x14ac:dyDescent="0.3">
      <c r="B26" s="324" t="s">
        <v>147</v>
      </c>
      <c r="C26" s="82">
        <f>SUM(C16,C18,C20,C22,C24)</f>
        <v>13588</v>
      </c>
      <c r="D26" s="82">
        <f t="shared" ref="D26:G26" si="31">SUM(D16,D18,D20,D22,D24)</f>
        <v>14110</v>
      </c>
      <c r="E26" s="83">
        <f t="shared" si="31"/>
        <v>14254</v>
      </c>
      <c r="F26" s="83">
        <f t="shared" si="31"/>
        <v>15167</v>
      </c>
      <c r="G26" s="83">
        <f t="shared" si="31"/>
        <v>15618</v>
      </c>
      <c r="H26" s="83">
        <f t="shared" ref="H26" si="32">SUM(H16,H18,H20,H22,H24)</f>
        <v>16223.414136241403</v>
      </c>
      <c r="I26" s="83">
        <f t="shared" ref="I26" si="33">SUM(I16,I18,I20,I22,I24)</f>
        <v>16849.0955596813</v>
      </c>
      <c r="J26" s="83">
        <f t="shared" ref="J26" si="34">SUM(J16,J18,J20,J22,J24)</f>
        <v>17473.940423921485</v>
      </c>
      <c r="K26" s="83">
        <f t="shared" ref="K26" si="35">SUM(K16,K18,K20,K22,K24)</f>
        <v>18143.411551768986</v>
      </c>
      <c r="L26" s="83">
        <f t="shared" ref="L26" si="36">SUM(L16,L18,L20,L22,L24)</f>
        <v>18864.721084530604</v>
      </c>
      <c r="O26" s="289"/>
      <c r="P26" s="289"/>
    </row>
    <row r="27" spans="1:16" ht="16.5" thickTop="1" thickBot="1" x14ac:dyDescent="0.3">
      <c r="B27" s="327" t="s">
        <v>134</v>
      </c>
      <c r="C27" s="89">
        <v>2883</v>
      </c>
      <c r="D27" s="90">
        <v>3311</v>
      </c>
      <c r="E27" s="90">
        <v>3713</v>
      </c>
      <c r="F27" s="90">
        <v>4290</v>
      </c>
      <c r="G27" s="90">
        <v>4483</v>
      </c>
      <c r="H27" s="118">
        <f>G27*(1+H28)</f>
        <v>5412.2650753768849</v>
      </c>
      <c r="I27" s="118">
        <f t="shared" ref="I27" si="37">H27*(1+I28)</f>
        <v>6539.5664578356627</v>
      </c>
      <c r="J27" s="118">
        <f t="shared" ref="J27" si="38">I27*(1+J28)</f>
        <v>7908.2089896745565</v>
      </c>
      <c r="K27" s="118">
        <f t="shared" ref="K27" si="39">J27*(1+K28)</f>
        <v>9571.1980428952156</v>
      </c>
      <c r="L27" s="118">
        <f t="shared" ref="L27" si="40">K27*(1+L28)</f>
        <v>11593.462328883017</v>
      </c>
    </row>
    <row r="28" spans="1:16" s="29" customFormat="1" ht="16.5" thickTop="1" thickBot="1" x14ac:dyDescent="0.3">
      <c r="B28" s="326" t="s">
        <v>202</v>
      </c>
      <c r="C28" s="113">
        <f>C27/2388-1</f>
        <v>0.20728643216080411</v>
      </c>
      <c r="D28" s="113">
        <f>D27/C27-1</f>
        <v>0.14845646895594866</v>
      </c>
      <c r="E28" s="113">
        <f t="shared" ref="E28" si="41">E27/D27-1</f>
        <v>0.1214134702506795</v>
      </c>
      <c r="F28" s="113">
        <f t="shared" ref="F28" si="42">F27/E27-1</f>
        <v>0.15539994613520069</v>
      </c>
      <c r="G28" s="113">
        <f t="shared" ref="G28" si="43">G27/F27-1</f>
        <v>4.498834498834503E-2</v>
      </c>
      <c r="H28" s="113">
        <f>CHOOSE($B$10,H71,H72)</f>
        <v>0.20728643216080411</v>
      </c>
      <c r="I28" s="113">
        <f t="shared" ref="I28:L28" si="44">CHOOSE($B$10,I71,I72)</f>
        <v>0.20828643216080411</v>
      </c>
      <c r="J28" s="113">
        <f t="shared" si="44"/>
        <v>0.20928643216080411</v>
      </c>
      <c r="K28" s="113">
        <f t="shared" si="44"/>
        <v>0.21028643216080412</v>
      </c>
      <c r="L28" s="113">
        <f t="shared" si="44"/>
        <v>0.21128643216080412</v>
      </c>
      <c r="N28" s="567"/>
      <c r="O28" s="545"/>
      <c r="P28" s="545"/>
    </row>
    <row r="29" spans="1:16" ht="16.5" thickTop="1" thickBot="1" x14ac:dyDescent="0.3">
      <c r="B29" s="324" t="s">
        <v>141</v>
      </c>
      <c r="C29" s="83">
        <f t="shared" ref="C29:L29" si="45">C26+C27</f>
        <v>16471</v>
      </c>
      <c r="D29" s="83">
        <f t="shared" si="45"/>
        <v>17421</v>
      </c>
      <c r="E29" s="83">
        <f t="shared" si="45"/>
        <v>17967</v>
      </c>
      <c r="F29" s="83">
        <f t="shared" si="45"/>
        <v>19457</v>
      </c>
      <c r="G29" s="83">
        <f t="shared" si="45"/>
        <v>20101</v>
      </c>
      <c r="H29" s="83">
        <f t="shared" si="45"/>
        <v>21635.679211618288</v>
      </c>
      <c r="I29" s="83">
        <f t="shared" si="45"/>
        <v>23388.662017516963</v>
      </c>
      <c r="J29" s="83">
        <f t="shared" si="45"/>
        <v>25382.149413596042</v>
      </c>
      <c r="K29" s="83">
        <f t="shared" si="45"/>
        <v>27714.609594664202</v>
      </c>
      <c r="L29" s="83">
        <f t="shared" si="45"/>
        <v>30458.183413413622</v>
      </c>
      <c r="O29" s="566"/>
      <c r="P29" s="566"/>
    </row>
    <row r="30" spans="1:16" s="29" customFormat="1" ht="16.5" thickTop="1" thickBot="1" x14ac:dyDescent="0.3">
      <c r="B30" s="326" t="s">
        <v>202</v>
      </c>
      <c r="C30" s="113">
        <f>C29/15544-1</f>
        <v>5.9637159032424059E-2</v>
      </c>
      <c r="D30" s="113">
        <f>D29/C29-1</f>
        <v>5.767712950033399E-2</v>
      </c>
      <c r="E30" s="113">
        <f t="shared" ref="E30" si="46">E29/D29-1</f>
        <v>3.1341484415360776E-2</v>
      </c>
      <c r="F30" s="113">
        <f t="shared" ref="F30" si="47">F29/E29-1</f>
        <v>8.2929815773362225E-2</v>
      </c>
      <c r="G30" s="113">
        <f t="shared" ref="G30" si="48">G29/F29-1</f>
        <v>3.3098627743228581E-2</v>
      </c>
      <c r="H30" s="113">
        <f t="shared" ref="H30" si="49">H29/G29-1</f>
        <v>7.6348401155081236E-2</v>
      </c>
      <c r="I30" s="113">
        <f t="shared" ref="I30" si="50">I29/H29-1</f>
        <v>8.102277671769742E-2</v>
      </c>
      <c r="J30" s="113">
        <f t="shared" ref="J30" si="51">J29/I29-1</f>
        <v>8.523306697005828E-2</v>
      </c>
      <c r="K30" s="113">
        <f t="shared" ref="K30" si="52">K29/J29-1</f>
        <v>9.1893721964254382E-2</v>
      </c>
      <c r="L30" s="113">
        <f t="shared" ref="L30" si="53">L29/K29-1</f>
        <v>9.8993774722976102E-2</v>
      </c>
      <c r="O30" s="545"/>
      <c r="P30" s="545"/>
    </row>
    <row r="31" spans="1:16" ht="16.5" thickTop="1" thickBot="1" x14ac:dyDescent="0.3"/>
    <row r="32" spans="1:16" ht="16.5" thickTop="1" thickBot="1" x14ac:dyDescent="0.3">
      <c r="A32" s="31" t="s">
        <v>118</v>
      </c>
      <c r="B32" s="328" t="s">
        <v>205</v>
      </c>
    </row>
    <row r="33" spans="2:15" ht="16.5" thickTop="1" thickBot="1" x14ac:dyDescent="0.3">
      <c r="B33" s="325" t="s">
        <v>283</v>
      </c>
      <c r="C33" s="56">
        <f>IS!C12</f>
        <v>6454</v>
      </c>
      <c r="D33" s="56">
        <f>IS!D12</f>
        <v>7046</v>
      </c>
      <c r="E33" s="56">
        <f>IS!E12</f>
        <v>7719</v>
      </c>
      <c r="F33" s="56">
        <f>IS!F12</f>
        <v>8131</v>
      </c>
      <c r="G33" s="56">
        <f>IS!G12</f>
        <v>7940</v>
      </c>
      <c r="H33" s="316">
        <f>H34*H29</f>
        <v>8822.2366734085736</v>
      </c>
      <c r="I33" s="316">
        <f t="shared" ref="I33:L33" si="54">I34*I29</f>
        <v>9611.5229234362796</v>
      </c>
      <c r="J33" s="316">
        <f t="shared" si="54"/>
        <v>10463.706628026326</v>
      </c>
      <c r="K33" s="316">
        <f t="shared" si="54"/>
        <v>11328.951189419791</v>
      </c>
      <c r="L33" s="316">
        <f t="shared" si="54"/>
        <v>12394.86636836772</v>
      </c>
    </row>
    <row r="34" spans="2:15" s="29" customFormat="1" ht="16.5" thickTop="1" thickBot="1" x14ac:dyDescent="0.3">
      <c r="B34" s="329" t="s">
        <v>206</v>
      </c>
      <c r="C34" s="338">
        <f>C33/C29</f>
        <v>0.3918402039949001</v>
      </c>
      <c r="D34" s="338">
        <f t="shared" ref="D34:G34" si="55">D33/D29</f>
        <v>0.4044543941220366</v>
      </c>
      <c r="E34" s="338">
        <f t="shared" si="55"/>
        <v>0.42962097178159958</v>
      </c>
      <c r="F34" s="338">
        <f t="shared" si="55"/>
        <v>0.41789587295060904</v>
      </c>
      <c r="G34" s="338">
        <f t="shared" si="55"/>
        <v>0.39500522362071538</v>
      </c>
      <c r="H34" s="338">
        <f>CHOOSE($B$10,H74,H75)</f>
        <v>0.40776333329397219</v>
      </c>
      <c r="I34" s="338">
        <f t="shared" ref="I34:L34" si="56">CHOOSE($B$10,I74,I75)</f>
        <v>0.41094795915378651</v>
      </c>
      <c r="J34" s="338">
        <f t="shared" si="56"/>
        <v>0.41224667216013644</v>
      </c>
      <c r="K34" s="338">
        <f t="shared" si="56"/>
        <v>0.40877181223584386</v>
      </c>
      <c r="L34" s="338">
        <f t="shared" si="56"/>
        <v>0.40694700009289086</v>
      </c>
    </row>
    <row r="35" spans="2:15" ht="16.5" thickTop="1" thickBot="1" x14ac:dyDescent="0.3">
      <c r="B35" s="330" t="s">
        <v>261</v>
      </c>
      <c r="C35" s="339">
        <f>C29-C33</f>
        <v>10017</v>
      </c>
      <c r="D35" s="339">
        <f t="shared" ref="D35:G35" si="57">D29-D33</f>
        <v>10375</v>
      </c>
      <c r="E35" s="339">
        <f t="shared" si="57"/>
        <v>10248</v>
      </c>
      <c r="F35" s="339">
        <f t="shared" si="57"/>
        <v>11326</v>
      </c>
      <c r="G35" s="339">
        <f t="shared" si="57"/>
        <v>12161</v>
      </c>
      <c r="H35" s="316">
        <f>H29-H33</f>
        <v>12813.442538209714</v>
      </c>
      <c r="I35" s="316">
        <f t="shared" ref="I35:L35" si="58">I29-I33</f>
        <v>13777.139094080683</v>
      </c>
      <c r="J35" s="316">
        <f t="shared" si="58"/>
        <v>14918.442785569716</v>
      </c>
      <c r="K35" s="316">
        <f t="shared" si="58"/>
        <v>16385.658405244409</v>
      </c>
      <c r="L35" s="316">
        <f t="shared" si="58"/>
        <v>18063.3170450459</v>
      </c>
    </row>
    <row r="36" spans="2:15" s="29" customFormat="1" ht="16.5" thickTop="1" thickBot="1" x14ac:dyDescent="0.3">
      <c r="B36" s="326" t="s">
        <v>206</v>
      </c>
      <c r="C36" s="338">
        <f>C35/C29</f>
        <v>0.60815979600509984</v>
      </c>
      <c r="D36" s="338">
        <f t="shared" ref="D36:G36" si="59">D35/D29</f>
        <v>0.59554560587796335</v>
      </c>
      <c r="E36" s="338">
        <f t="shared" si="59"/>
        <v>0.57037902821840036</v>
      </c>
      <c r="F36" s="338">
        <f t="shared" si="59"/>
        <v>0.58210412704939096</v>
      </c>
      <c r="G36" s="338">
        <f t="shared" si="59"/>
        <v>0.60499477637928456</v>
      </c>
      <c r="H36" s="338">
        <f t="shared" ref="H36" si="60">H35/H29</f>
        <v>0.59223666670602781</v>
      </c>
      <c r="I36" s="338">
        <f t="shared" ref="I36" si="61">I35/I29</f>
        <v>0.58905204084621343</v>
      </c>
      <c r="J36" s="338">
        <f t="shared" ref="J36" si="62">J35/J29</f>
        <v>0.58775332783986356</v>
      </c>
      <c r="K36" s="338">
        <f t="shared" ref="K36" si="63">K35/K29</f>
        <v>0.59122818776415609</v>
      </c>
      <c r="L36" s="338">
        <f t="shared" ref="L36" si="64">L35/L29</f>
        <v>0.59305299990710902</v>
      </c>
    </row>
    <row r="37" spans="2:15" ht="16.5" thickTop="1" thickBot="1" x14ac:dyDescent="0.3">
      <c r="B37" s="331" t="s">
        <v>284</v>
      </c>
      <c r="C37" s="56">
        <f>IS!C14</f>
        <v>6019</v>
      </c>
      <c r="D37" s="56">
        <f>IS!D14</f>
        <v>6407</v>
      </c>
      <c r="E37" s="56">
        <f>IS!E14</f>
        <v>6565</v>
      </c>
      <c r="F37" s="56">
        <f>IS!F14</f>
        <v>7151</v>
      </c>
      <c r="G37" s="56">
        <f>IS!G14</f>
        <v>7729</v>
      </c>
      <c r="H37" s="316">
        <f>H38*H29</f>
        <v>8007.9421684281151</v>
      </c>
      <c r="I37" s="316">
        <f t="shared" ref="I37:L37" si="65">I38*I29</f>
        <v>8678.7370007631744</v>
      </c>
      <c r="J37" s="316">
        <f t="shared" si="65"/>
        <v>9435.1612585121129</v>
      </c>
      <c r="K37" s="316">
        <f t="shared" si="65"/>
        <v>10337.292089597933</v>
      </c>
      <c r="L37" s="316">
        <f t="shared" si="65"/>
        <v>11393.894126056606</v>
      </c>
    </row>
    <row r="38" spans="2:15" s="29" customFormat="1" ht="16.5" thickTop="1" thickBot="1" x14ac:dyDescent="0.3">
      <c r="B38" s="329" t="s">
        <v>206</v>
      </c>
      <c r="C38" s="338">
        <f>C37/C29</f>
        <v>0.36543014996053669</v>
      </c>
      <c r="D38" s="338">
        <f t="shared" ref="D38:G38" si="66">D37/D29</f>
        <v>0.36777452499856494</v>
      </c>
      <c r="E38" s="338">
        <f t="shared" si="66"/>
        <v>0.36539210775310293</v>
      </c>
      <c r="F38" s="338">
        <f t="shared" si="66"/>
        <v>0.36752839595004366</v>
      </c>
      <c r="G38" s="338">
        <f t="shared" si="66"/>
        <v>0.38450823342122281</v>
      </c>
      <c r="H38" s="338">
        <f>CHOOSE($B$10,H77,H78)</f>
        <v>0.37012668241669422</v>
      </c>
      <c r="I38" s="338">
        <f t="shared" ref="I38:L38" si="67">CHOOSE($B$10,I77,I78)</f>
        <v>0.37106598890792575</v>
      </c>
      <c r="J38" s="338">
        <f t="shared" si="67"/>
        <v>0.37172428168979788</v>
      </c>
      <c r="K38" s="338">
        <f t="shared" si="67"/>
        <v>0.37299071647713689</v>
      </c>
      <c r="L38" s="338">
        <f t="shared" si="67"/>
        <v>0.37408318058255552</v>
      </c>
    </row>
    <row r="39" spans="2:15" ht="16.5" thickTop="1" thickBot="1" x14ac:dyDescent="0.3">
      <c r="B39" s="331" t="s">
        <v>278</v>
      </c>
      <c r="C39" s="56">
        <f>IS!C15</f>
        <v>113</v>
      </c>
      <c r="D39" s="56">
        <f>IS!D15</f>
        <v>65</v>
      </c>
      <c r="E39" s="56">
        <f>IS!E15</f>
        <v>69</v>
      </c>
      <c r="F39" s="56">
        <f>IS!F15</f>
        <v>191</v>
      </c>
      <c r="G39" s="56">
        <f>IS!G15</f>
        <v>164</v>
      </c>
      <c r="H39" s="316">
        <f>H40*H29</f>
        <v>140.23105954608329</v>
      </c>
      <c r="I39" s="316">
        <f t="shared" ref="I39:L39" si="68">I40*I29</f>
        <v>149.81978001620249</v>
      </c>
      <c r="J39" s="316">
        <f t="shared" si="68"/>
        <v>176.16643998708261</v>
      </c>
      <c r="K39" s="316">
        <f t="shared" si="68"/>
        <v>209.53914248421694</v>
      </c>
      <c r="L39" s="316">
        <f t="shared" si="68"/>
        <v>216.53999173259635</v>
      </c>
    </row>
    <row r="40" spans="2:15" s="29" customFormat="1" ht="16.5" thickTop="1" thickBot="1" x14ac:dyDescent="0.3">
      <c r="B40" s="329" t="s">
        <v>206</v>
      </c>
      <c r="C40" s="338">
        <f>C39/C29</f>
        <v>6.8605427721449824E-3</v>
      </c>
      <c r="D40" s="338">
        <f t="shared" ref="D40:G40" si="69">D39/D29</f>
        <v>3.7311290970667584E-3</v>
      </c>
      <c r="E40" s="338">
        <f t="shared" si="69"/>
        <v>3.8403740190348975E-3</v>
      </c>
      <c r="F40" s="338">
        <f t="shared" si="69"/>
        <v>9.8165184766407978E-3</v>
      </c>
      <c r="G40" s="338">
        <f t="shared" si="69"/>
        <v>8.1587980697477736E-3</v>
      </c>
      <c r="H40" s="338">
        <f>AVERAGE(C40:G40)</f>
        <v>6.4814724869270424E-3</v>
      </c>
      <c r="I40" s="338">
        <f t="shared" ref="I40:L40" si="70">AVERAGE(D40:H40)</f>
        <v>6.4056584298834542E-3</v>
      </c>
      <c r="J40" s="338">
        <f t="shared" si="70"/>
        <v>6.940564296446794E-3</v>
      </c>
      <c r="K40" s="338">
        <f t="shared" si="70"/>
        <v>7.5606023519291712E-3</v>
      </c>
      <c r="L40" s="338">
        <f t="shared" si="70"/>
        <v>7.1094191269868478E-3</v>
      </c>
    </row>
    <row r="41" spans="2:15" ht="16.5" thickTop="1" thickBot="1" x14ac:dyDescent="0.3">
      <c r="B41" s="332" t="s">
        <v>279</v>
      </c>
      <c r="C41" s="56">
        <f>IS!C18</f>
        <v>74</v>
      </c>
      <c r="D41" s="56">
        <f>IS!D18</f>
        <v>70</v>
      </c>
      <c r="E41" s="56">
        <f>IS!E18</f>
        <v>80</v>
      </c>
      <c r="F41" s="56">
        <f>IS!F18</f>
        <v>360</v>
      </c>
      <c r="G41" s="56">
        <f>IS!G18</f>
        <v>87</v>
      </c>
      <c r="H41" s="316">
        <f>H42*H29</f>
        <v>154.88538254950475</v>
      </c>
      <c r="I41" s="316">
        <f t="shared" ref="I41:L41" si="71">I42*I29</f>
        <v>179.90569353497474</v>
      </c>
      <c r="J41" s="316">
        <f t="shared" si="71"/>
        <v>213.88972803972172</v>
      </c>
      <c r="K41" s="316">
        <f t="shared" si="71"/>
        <v>255.57336545574222</v>
      </c>
      <c r="L41" s="316">
        <f t="shared" si="71"/>
        <v>224.33872128391454</v>
      </c>
    </row>
    <row r="42" spans="2:15" s="29" customFormat="1" ht="16.5" thickTop="1" thickBot="1" x14ac:dyDescent="0.3">
      <c r="B42" s="329" t="s">
        <v>206</v>
      </c>
      <c r="C42" s="338">
        <f>C41/C29</f>
        <v>4.4927448242365366E-3</v>
      </c>
      <c r="D42" s="338">
        <f t="shared" ref="D42:G42" si="72">D41/D29</f>
        <v>4.0181390276103554E-3</v>
      </c>
      <c r="E42" s="338">
        <f t="shared" si="72"/>
        <v>4.4526075583013304E-3</v>
      </c>
      <c r="F42" s="338">
        <f t="shared" si="72"/>
        <v>1.8502338490003597E-2</v>
      </c>
      <c r="G42" s="338">
        <f t="shared" si="72"/>
        <v>4.3281428784637584E-3</v>
      </c>
      <c r="H42" s="338">
        <f>AVERAGE(C42:G42)</f>
        <v>7.1587945557231147E-3</v>
      </c>
      <c r="I42" s="338">
        <f t="shared" ref="I42" si="73">AVERAGE(D42:H42)</f>
        <v>7.6920045020204319E-3</v>
      </c>
      <c r="J42" s="338">
        <f t="shared" ref="J42" si="74">AVERAGE(E42:I42)</f>
        <v>8.4267775969024475E-3</v>
      </c>
      <c r="K42" s="338">
        <f t="shared" ref="K42" si="75">AVERAGE(F42:J42)</f>
        <v>9.2216116046226707E-3</v>
      </c>
      <c r="L42" s="338">
        <f t="shared" ref="L42" si="76">AVERAGE(G42:K42)</f>
        <v>7.3654662275464845E-3</v>
      </c>
    </row>
    <row r="43" spans="2:15" ht="16.5" thickTop="1" thickBot="1" x14ac:dyDescent="0.3">
      <c r="B43" s="332" t="s">
        <v>286</v>
      </c>
      <c r="C43" s="56">
        <f>IS!C21</f>
        <v>787</v>
      </c>
      <c r="D43" s="56">
        <f>IS!D21</f>
        <v>749</v>
      </c>
      <c r="E43" s="56">
        <f>IS!E21</f>
        <v>693</v>
      </c>
      <c r="F43" s="56">
        <f>IS!F21</f>
        <v>937</v>
      </c>
      <c r="G43" s="56">
        <f>IS!G21</f>
        <v>907</v>
      </c>
      <c r="H43" s="316">
        <f>H44*IS!H20</f>
        <v>1044.3141091256325</v>
      </c>
      <c r="I43" s="316">
        <f>I44*IS!I20</f>
        <v>1119.8125664736096</v>
      </c>
      <c r="J43" s="316">
        <f>J44*IS!J20</f>
        <v>1207.6183348032623</v>
      </c>
      <c r="K43" s="316">
        <f>K44*IS!K20</f>
        <v>1331.0509406095546</v>
      </c>
      <c r="L43" s="316">
        <f>L44*IS!L20</f>
        <v>1495.4446833208103</v>
      </c>
      <c r="O43" t="s">
        <v>240</v>
      </c>
    </row>
    <row r="44" spans="2:15" s="29" customFormat="1" ht="16.5" thickTop="1" thickBot="1" x14ac:dyDescent="0.3">
      <c r="B44" s="329" t="s">
        <v>208</v>
      </c>
      <c r="C44" s="338">
        <f>C43/IS!C20</f>
        <v>0.21579380312585686</v>
      </c>
      <c r="D44" s="338">
        <f>D43/IS!D20</f>
        <v>0.24263038548752835</v>
      </c>
      <c r="E44" s="338">
        <f>E43/IS!E20</f>
        <v>0.26052631578947366</v>
      </c>
      <c r="F44" s="338">
        <f>F43/IS!F20</f>
        <v>0.27623820754716982</v>
      </c>
      <c r="G44" s="338">
        <f>G43/IS!G20</f>
        <v>0.22927199191102124</v>
      </c>
      <c r="H44" s="338">
        <f>AVERAGE(C44:G44)</f>
        <v>0.24489214077221</v>
      </c>
      <c r="I44" s="338">
        <f>$H$44</f>
        <v>0.24489214077221</v>
      </c>
      <c r="J44" s="338">
        <f t="shared" ref="J44:L44" si="77">$H$44</f>
        <v>0.24489214077221</v>
      </c>
      <c r="K44" s="338">
        <f t="shared" si="77"/>
        <v>0.24489214077221</v>
      </c>
      <c r="L44" s="338">
        <f t="shared" si="77"/>
        <v>0.24489214077221</v>
      </c>
    </row>
    <row r="45" spans="2:15" ht="16.5" thickTop="1" thickBot="1" x14ac:dyDescent="0.3">
      <c r="B45" s="332" t="s">
        <v>38</v>
      </c>
      <c r="C45" s="56">
        <f>IS!C23</f>
        <v>165</v>
      </c>
      <c r="D45" s="56">
        <f>IS!D23</f>
        <v>172</v>
      </c>
      <c r="E45" s="56">
        <f>IS!E23</f>
        <v>182</v>
      </c>
      <c r="F45" s="56">
        <f>IS!F23</f>
        <v>155</v>
      </c>
      <c r="G45" s="56">
        <f>IS!G23</f>
        <v>160</v>
      </c>
      <c r="H45" s="316">
        <f>H46*IS!H22</f>
        <v>168.97709772701234</v>
      </c>
      <c r="I45" s="316">
        <f>I46*IS!I22</f>
        <v>181.19325960211066</v>
      </c>
      <c r="J45" s="316">
        <f>J46*IS!J22</f>
        <v>195.40082777186154</v>
      </c>
      <c r="K45" s="316">
        <f>K46*IS!K22</f>
        <v>215.37305960495701</v>
      </c>
      <c r="L45" s="316">
        <f>L46*IS!L22</f>
        <v>241.97308088695169</v>
      </c>
      <c r="O45" t="s">
        <v>240</v>
      </c>
    </row>
    <row r="46" spans="2:15" s="29" customFormat="1" ht="16.5" thickTop="1" thickBot="1" x14ac:dyDescent="0.3">
      <c r="B46" s="329" t="s">
        <v>345</v>
      </c>
      <c r="C46" s="338">
        <f>C45/IS!C22</f>
        <v>5.7692307692307696E-2</v>
      </c>
      <c r="D46" s="338">
        <f>D45/IS!D22</f>
        <v>7.3567151411462792E-2</v>
      </c>
      <c r="E46" s="338">
        <f>E45/IS!E22</f>
        <v>9.2526690391459068E-2</v>
      </c>
      <c r="F46" s="338">
        <f>F45/IS!F22</f>
        <v>6.313645621181263E-2</v>
      </c>
      <c r="G46" s="338">
        <f>G45/IS!G22</f>
        <v>5.2476221712036732E-2</v>
      </c>
      <c r="H46" s="338">
        <f>$G$46</f>
        <v>5.2476221712036732E-2</v>
      </c>
      <c r="I46" s="338">
        <f t="shared" ref="I46:L46" si="78">$G$46</f>
        <v>5.2476221712036732E-2</v>
      </c>
      <c r="J46" s="338">
        <f t="shared" si="78"/>
        <v>5.2476221712036732E-2</v>
      </c>
      <c r="K46" s="338">
        <f t="shared" si="78"/>
        <v>5.2476221712036732E-2</v>
      </c>
      <c r="L46" s="338">
        <f t="shared" si="78"/>
        <v>5.2476221712036732E-2</v>
      </c>
      <c r="O46" s="29" t="s">
        <v>346</v>
      </c>
    </row>
    <row r="47" spans="2:15" ht="16.5" thickTop="1" thickBot="1" x14ac:dyDescent="0.3"/>
    <row r="48" spans="2:15" ht="16.5" thickTop="1" thickBot="1" x14ac:dyDescent="0.3">
      <c r="B48" s="120" t="s">
        <v>196</v>
      </c>
      <c r="C48" s="120" t="s">
        <v>197</v>
      </c>
      <c r="E48" s="85"/>
      <c r="F48" s="85"/>
      <c r="G48" s="85"/>
      <c r="H48" s="85"/>
      <c r="I48" s="85"/>
      <c r="J48" s="85"/>
      <c r="K48" s="85"/>
      <c r="L48" s="85"/>
    </row>
    <row r="49" spans="2:12" ht="16.5" thickTop="1" thickBot="1" x14ac:dyDescent="0.3">
      <c r="B49" s="127">
        <v>1</v>
      </c>
      <c r="C49" s="115" t="s">
        <v>199</v>
      </c>
      <c r="E49" s="116"/>
      <c r="F49" s="116"/>
      <c r="G49" s="116"/>
      <c r="H49" s="116"/>
      <c r="I49" s="116"/>
      <c r="J49" s="116"/>
      <c r="K49" s="116"/>
      <c r="L49" s="117"/>
    </row>
    <row r="50" spans="2:12" ht="16.5" thickTop="1" thickBot="1" x14ac:dyDescent="0.3">
      <c r="B50" s="127">
        <v>2</v>
      </c>
      <c r="C50" s="115" t="s">
        <v>198</v>
      </c>
      <c r="E50" s="116"/>
      <c r="F50" s="116"/>
      <c r="G50" s="116"/>
      <c r="H50" s="116"/>
      <c r="I50" s="116"/>
      <c r="J50" s="116"/>
      <c r="K50" s="116"/>
      <c r="L50" s="117"/>
    </row>
    <row r="51" spans="2:12" ht="18.75" thickTop="1" thickBot="1" x14ac:dyDescent="0.3">
      <c r="B51" s="12" t="s">
        <v>20</v>
      </c>
      <c r="C51" s="666" t="s">
        <v>21</v>
      </c>
      <c r="D51" s="666"/>
      <c r="E51" s="666"/>
      <c r="F51" s="666"/>
      <c r="G51" s="666"/>
      <c r="H51" s="666" t="s">
        <v>67</v>
      </c>
      <c r="I51" s="666"/>
      <c r="J51" s="666"/>
      <c r="K51" s="666"/>
      <c r="L51" s="666"/>
    </row>
    <row r="52" spans="2:12" ht="16.5" thickTop="1" thickBot="1" x14ac:dyDescent="0.3">
      <c r="B52" s="13"/>
      <c r="C52" s="128">
        <v>2019</v>
      </c>
      <c r="D52" s="128">
        <f>C52+1</f>
        <v>2020</v>
      </c>
      <c r="E52" s="128">
        <f t="shared" ref="E52" si="79">D52+1</f>
        <v>2021</v>
      </c>
      <c r="F52" s="128">
        <f t="shared" ref="F52" si="80">E52+1</f>
        <v>2022</v>
      </c>
      <c r="G52" s="128">
        <f t="shared" ref="G52" si="81">F52+1</f>
        <v>2023</v>
      </c>
      <c r="H52" s="129">
        <f t="shared" ref="H52" si="82">G52+1</f>
        <v>2024</v>
      </c>
      <c r="I52" s="129">
        <f t="shared" ref="I52" si="83">H52+1</f>
        <v>2025</v>
      </c>
      <c r="J52" s="129">
        <f t="shared" ref="J52" si="84">I52+1</f>
        <v>2026</v>
      </c>
      <c r="K52" s="129">
        <f t="shared" ref="K52" si="85">J52+1</f>
        <v>2027</v>
      </c>
      <c r="L52" s="129">
        <f t="shared" ref="L52" si="86">K52+1</f>
        <v>2028</v>
      </c>
    </row>
    <row r="53" spans="2:12" ht="16.5" thickTop="1" thickBot="1" x14ac:dyDescent="0.3">
      <c r="B53" s="12" t="s">
        <v>140</v>
      </c>
      <c r="C53" s="86"/>
      <c r="D53" s="87"/>
      <c r="E53" s="87"/>
      <c r="F53" s="87"/>
      <c r="G53" s="87"/>
      <c r="H53" s="87"/>
      <c r="I53" s="87"/>
      <c r="J53" s="87"/>
      <c r="K53" s="87"/>
      <c r="L53" s="88"/>
    </row>
    <row r="54" spans="2:12" ht="16.5" thickTop="1" thickBot="1" x14ac:dyDescent="0.3">
      <c r="B54" s="324" t="s">
        <v>133</v>
      </c>
      <c r="C54" s="86"/>
      <c r="D54" s="87"/>
      <c r="E54" s="87"/>
      <c r="F54" s="87"/>
      <c r="G54" s="87"/>
      <c r="H54" s="87"/>
      <c r="I54" s="87"/>
      <c r="J54" s="87"/>
      <c r="K54" s="87"/>
      <c r="L54" s="88"/>
    </row>
    <row r="55" spans="2:12" ht="16.5" thickTop="1" thickBot="1" x14ac:dyDescent="0.3">
      <c r="B55" s="333" t="s">
        <v>135</v>
      </c>
      <c r="C55" s="86"/>
      <c r="D55" s="87"/>
      <c r="E55" s="87"/>
      <c r="F55" s="87"/>
      <c r="G55" s="87"/>
      <c r="H55" s="87"/>
      <c r="I55" s="87"/>
      <c r="J55" s="87"/>
      <c r="K55" s="87"/>
      <c r="L55" s="87"/>
    </row>
    <row r="56" spans="2:12" s="29" customFormat="1" ht="16.5" thickTop="1" thickBot="1" x14ac:dyDescent="0.3">
      <c r="B56" s="334" t="s">
        <v>200</v>
      </c>
      <c r="C56" s="212"/>
      <c r="D56" s="209"/>
      <c r="E56" s="209"/>
      <c r="F56" s="209"/>
      <c r="G56" s="209"/>
      <c r="H56" s="213">
        <f>IF(H57&gt;MEDIAN(C17:G17),H57,MEDIAN(C17:G17))</f>
        <v>4.799808917197447E-2</v>
      </c>
      <c r="I56" s="213">
        <f>IF(I57&gt;MEDIAN(D17:H17),I57,MEDIAN(D17:H17))</f>
        <v>4.824808917197447E-2</v>
      </c>
      <c r="J56" s="213">
        <f>IF(J57&gt;MEDIAN(E17:I17),J57,MEDIAN(E17:I17))</f>
        <v>4.8498089171974471E-2</v>
      </c>
      <c r="K56" s="213">
        <f>IF(K57&gt;MEDIAN(F17:J17),K57,MEDIAN(F17:J17))</f>
        <v>4.8748089171974471E-2</v>
      </c>
      <c r="L56" s="213">
        <f>IF(L57&gt;MEDIAN(G17:K17),L57,MEDIAN(G17:K17))</f>
        <v>4.8998089171974471E-2</v>
      </c>
    </row>
    <row r="57" spans="2:12" s="29" customFormat="1" ht="15.75" thickTop="1" x14ac:dyDescent="0.25">
      <c r="B57" s="335" t="s">
        <v>201</v>
      </c>
      <c r="C57" s="214"/>
      <c r="D57" s="215"/>
      <c r="E57" s="215"/>
      <c r="F57" s="215"/>
      <c r="G57" s="215"/>
      <c r="H57" s="216">
        <f>G17+0.01%</f>
        <v>4.799808917197447E-2</v>
      </c>
      <c r="I57" s="216">
        <f>H57+0.025%</f>
        <v>4.824808917197447E-2</v>
      </c>
      <c r="J57" s="216">
        <f t="shared" ref="J57:L57" si="87">I57+0.025%</f>
        <v>4.8498089171974471E-2</v>
      </c>
      <c r="K57" s="216">
        <f t="shared" si="87"/>
        <v>4.8748089171974471E-2</v>
      </c>
      <c r="L57" s="216">
        <f t="shared" si="87"/>
        <v>4.8998089171974471E-2</v>
      </c>
    </row>
    <row r="58" spans="2:12" ht="15.75" thickBot="1" x14ac:dyDescent="0.3">
      <c r="B58" s="336" t="s">
        <v>136</v>
      </c>
      <c r="C58" s="124"/>
      <c r="D58" s="125"/>
      <c r="E58" s="125"/>
      <c r="F58" s="125"/>
      <c r="G58" s="125"/>
      <c r="H58" s="125"/>
      <c r="I58" s="125"/>
      <c r="J58" s="125"/>
      <c r="K58" s="125"/>
      <c r="L58" s="126"/>
    </row>
    <row r="59" spans="2:12" s="29" customFormat="1" ht="16.5" thickTop="1" thickBot="1" x14ac:dyDescent="0.3">
      <c r="B59" s="334" t="s">
        <v>200</v>
      </c>
      <c r="C59" s="212"/>
      <c r="D59" s="209"/>
      <c r="E59" s="209"/>
      <c r="F59" s="209"/>
      <c r="G59" s="209"/>
      <c r="H59" s="213">
        <f>IF(H60&gt;MEDIAN(C19:G19),H60,MEDIAN(C19:G19))</f>
        <v>7.1679344645991794E-2</v>
      </c>
      <c r="I59" s="213">
        <f>IF(I60&gt;MEDIAN(D19:H19),I60,MEDIAN(D19:H19))</f>
        <v>7.1679344645991794E-2</v>
      </c>
      <c r="J59" s="213">
        <f>IF(J60&gt;MEDIAN(E19:I19),J60,MEDIAN(E19:I19))</f>
        <v>6.0548215349309743E-2</v>
      </c>
      <c r="K59" s="213">
        <f>IF(K60&gt;MEDIAN(F19:J19),K60,MEDIAN(F19:J19))</f>
        <v>5.7548215349309748E-2</v>
      </c>
      <c r="L59" s="213">
        <f>IF(L60&gt;MEDIAN(G19:K19),L60,MEDIAN(G19:K19))</f>
        <v>5.7548215349309748E-2</v>
      </c>
    </row>
    <row r="60" spans="2:12" s="29" customFormat="1" ht="15.75" thickTop="1" x14ac:dyDescent="0.25">
      <c r="B60" s="335" t="s">
        <v>201</v>
      </c>
      <c r="C60" s="214"/>
      <c r="D60" s="215"/>
      <c r="E60" s="215"/>
      <c r="F60" s="215"/>
      <c r="G60" s="215"/>
      <c r="H60" s="216">
        <f>AVERAGE(C19:G19)</f>
        <v>6.0548215349309743E-2</v>
      </c>
      <c r="I60" s="216">
        <f>H60-0.5%</f>
        <v>5.5548215349309746E-2</v>
      </c>
      <c r="J60" s="216">
        <f>I60+0.1%</f>
        <v>5.6548215349309747E-2</v>
      </c>
      <c r="K60" s="216">
        <f>J60+0.1%</f>
        <v>5.7548215349309748E-2</v>
      </c>
      <c r="L60" s="216">
        <f>K60</f>
        <v>5.7548215349309748E-2</v>
      </c>
    </row>
    <row r="61" spans="2:12" ht="15.75" thickBot="1" x14ac:dyDescent="0.3">
      <c r="B61" s="336" t="s">
        <v>137</v>
      </c>
      <c r="C61" s="124"/>
      <c r="D61" s="125"/>
      <c r="E61" s="125"/>
      <c r="F61" s="125"/>
      <c r="G61" s="125"/>
      <c r="H61" s="125"/>
      <c r="I61" s="125"/>
      <c r="J61" s="125"/>
      <c r="K61" s="125"/>
      <c r="L61" s="126"/>
    </row>
    <row r="62" spans="2:12" s="29" customFormat="1" ht="16.5" thickTop="1" thickBot="1" x14ac:dyDescent="0.3">
      <c r="B62" s="334" t="s">
        <v>200</v>
      </c>
      <c r="C62" s="212"/>
      <c r="D62" s="209"/>
      <c r="E62" s="209"/>
      <c r="F62" s="209"/>
      <c r="G62" s="209"/>
      <c r="H62" s="213">
        <f>H63-1.5%</f>
        <v>8.0481863930878771E-3</v>
      </c>
      <c r="I62" s="213">
        <f>I63+0.5%</f>
        <v>2.8148186393087877E-2</v>
      </c>
      <c r="J62" s="213">
        <f>J63+0.5%</f>
        <v>2.8398186393087877E-2</v>
      </c>
      <c r="K62" s="213">
        <f>K63-1%</f>
        <v>1.3648186393087876E-2</v>
      </c>
      <c r="L62" s="213">
        <f>L63+0.5%</f>
        <v>2.8898186393087878E-2</v>
      </c>
    </row>
    <row r="63" spans="2:12" s="29" customFormat="1" ht="15.75" thickTop="1" x14ac:dyDescent="0.25">
      <c r="B63" s="335" t="s">
        <v>201</v>
      </c>
      <c r="C63" s="214"/>
      <c r="D63" s="215"/>
      <c r="E63" s="215"/>
      <c r="F63" s="215"/>
      <c r="G63" s="215"/>
      <c r="H63" s="216">
        <f>AVERAGE(C21:G21)</f>
        <v>2.3048186393087877E-2</v>
      </c>
      <c r="I63" s="216">
        <f>H63+0.01%</f>
        <v>2.3148186393087876E-2</v>
      </c>
      <c r="J63" s="216">
        <f>I63+0.025%</f>
        <v>2.3398186393087876E-2</v>
      </c>
      <c r="K63" s="216">
        <f>J63+0.025%</f>
        <v>2.3648186393087876E-2</v>
      </c>
      <c r="L63" s="216">
        <f>K63+0.025%</f>
        <v>2.3898186393087877E-2</v>
      </c>
    </row>
    <row r="64" spans="2:12" ht="15.75" thickBot="1" x14ac:dyDescent="0.3">
      <c r="B64" s="336" t="s">
        <v>138</v>
      </c>
      <c r="C64" s="124"/>
      <c r="D64" s="125"/>
      <c r="E64" s="125"/>
      <c r="F64" s="125"/>
      <c r="G64" s="125"/>
      <c r="H64" s="125"/>
      <c r="I64" s="125"/>
      <c r="J64" s="125"/>
      <c r="K64" s="125"/>
      <c r="L64" s="126"/>
    </row>
    <row r="65" spans="2:12" s="29" customFormat="1" ht="16.5" thickTop="1" thickBot="1" x14ac:dyDescent="0.3">
      <c r="B65" s="334" t="s">
        <v>200</v>
      </c>
      <c r="C65" s="212"/>
      <c r="D65" s="209"/>
      <c r="E65" s="209"/>
      <c r="F65" s="209"/>
      <c r="G65" s="209"/>
      <c r="H65" s="213">
        <f t="shared" ref="H65:L65" si="88">H66+0.3%</f>
        <v>1.2367319116950236E-2</v>
      </c>
      <c r="I65" s="213">
        <f t="shared" si="88"/>
        <v>1.6654828295131787E-2</v>
      </c>
      <c r="J65" s="213">
        <f t="shared" si="88"/>
        <v>7.0940501555650194E-3</v>
      </c>
      <c r="K65" s="213">
        <f t="shared" si="88"/>
        <v>1.0772992729405614E-2</v>
      </c>
      <c r="L65" s="213">
        <f t="shared" si="88"/>
        <v>1.544153324273188E-2</v>
      </c>
    </row>
    <row r="66" spans="2:12" s="29" customFormat="1" ht="15.75" thickTop="1" x14ac:dyDescent="0.25">
      <c r="B66" s="335" t="s">
        <v>201</v>
      </c>
      <c r="C66" s="214"/>
      <c r="D66" s="215"/>
      <c r="E66" s="215"/>
      <c r="F66" s="215"/>
      <c r="G66" s="215"/>
      <c r="H66" s="216">
        <f>AVERAGE(C23:G23)</f>
        <v>9.3673191169502349E-3</v>
      </c>
      <c r="I66" s="216">
        <f>AVERAGE(D23:H23)</f>
        <v>1.3654828295131788E-2</v>
      </c>
      <c r="J66" s="216">
        <f>AVERAGE(E23:I23)</f>
        <v>4.0940501555650193E-3</v>
      </c>
      <c r="K66" s="216">
        <f>AVERAGE(F23:J23)</f>
        <v>7.7729927294056134E-3</v>
      </c>
      <c r="L66" s="216">
        <f>AVERAGE(G23:K23)</f>
        <v>1.2441533242731879E-2</v>
      </c>
    </row>
    <row r="67" spans="2:12" ht="15.75" thickBot="1" x14ac:dyDescent="0.3">
      <c r="B67" s="336" t="s">
        <v>139</v>
      </c>
      <c r="C67" s="124"/>
      <c r="D67" s="125"/>
      <c r="E67" s="125"/>
      <c r="F67" s="125"/>
      <c r="G67" s="125"/>
      <c r="H67" s="125"/>
      <c r="I67" s="125"/>
      <c r="J67" s="125"/>
      <c r="K67" s="125"/>
      <c r="L67" s="126"/>
    </row>
    <row r="68" spans="2:12" s="29" customFormat="1" ht="16.5" thickTop="1" thickBot="1" x14ac:dyDescent="0.3">
      <c r="B68" s="334" t="s">
        <v>200</v>
      </c>
      <c r="C68" s="212"/>
      <c r="D68" s="209"/>
      <c r="E68" s="209"/>
      <c r="F68" s="209"/>
      <c r="G68" s="209"/>
      <c r="H68" s="213">
        <f>H69+0.5%</f>
        <v>3.0425712631576226E-2</v>
      </c>
      <c r="I68" s="213">
        <f t="shared" ref="I68:L68" si="89">I69+0.5%</f>
        <v>3.261530190039405E-2</v>
      </c>
      <c r="J68" s="213">
        <f t="shared" si="89"/>
        <v>2.5090451984856123E-2</v>
      </c>
      <c r="K68" s="213">
        <f t="shared" si="89"/>
        <v>2.2027202668908681E-2</v>
      </c>
      <c r="L68" s="213">
        <f t="shared" si="89"/>
        <v>2.5247800319141454E-2</v>
      </c>
    </row>
    <row r="69" spans="2:12" s="29" customFormat="1" ht="15.75" thickTop="1" x14ac:dyDescent="0.25">
      <c r="B69" s="335" t="s">
        <v>201</v>
      </c>
      <c r="C69" s="214"/>
      <c r="D69" s="215"/>
      <c r="E69" s="215"/>
      <c r="F69" s="215"/>
      <c r="G69" s="215"/>
      <c r="H69" s="216">
        <f>AVERAGE(C25:G25)</f>
        <v>2.5425712631576225E-2</v>
      </c>
      <c r="I69" s="216">
        <f>AVERAGE(D25:H25)</f>
        <v>2.7615301900394053E-2</v>
      </c>
      <c r="J69" s="216">
        <f>AVERAGE(E25:I25)</f>
        <v>2.0090451984856122E-2</v>
      </c>
      <c r="K69" s="216">
        <f>AVERAGE(F25:J25)</f>
        <v>1.702720266890868E-2</v>
      </c>
      <c r="L69" s="216">
        <f>AVERAGE(G25:K25)</f>
        <v>2.0247800319141453E-2</v>
      </c>
    </row>
    <row r="70" spans="2:12" ht="15.75" thickBot="1" x14ac:dyDescent="0.3">
      <c r="B70" s="337" t="s">
        <v>134</v>
      </c>
      <c r="C70" s="124"/>
      <c r="D70" s="125"/>
      <c r="E70" s="125"/>
      <c r="F70" s="125"/>
      <c r="G70" s="125"/>
      <c r="H70" s="125"/>
      <c r="I70" s="125"/>
      <c r="J70" s="125"/>
      <c r="K70" s="125"/>
      <c r="L70" s="126"/>
    </row>
    <row r="71" spans="2:12" s="29" customFormat="1" ht="16.5" thickTop="1" thickBot="1" x14ac:dyDescent="0.3">
      <c r="B71" s="335" t="s">
        <v>200</v>
      </c>
      <c r="C71" s="212"/>
      <c r="D71" s="209"/>
      <c r="E71" s="209"/>
      <c r="F71" s="209"/>
      <c r="G71" s="209"/>
      <c r="H71" s="213">
        <f>H72+0.5%</f>
        <v>0.21228643216080412</v>
      </c>
      <c r="I71" s="213">
        <f t="shared" ref="I71:L71" si="90">I72+0.5%</f>
        <v>0.21328643216080412</v>
      </c>
      <c r="J71" s="213">
        <f t="shared" si="90"/>
        <v>0.21428643216080412</v>
      </c>
      <c r="K71" s="213">
        <f t="shared" si="90"/>
        <v>0.21528643216080412</v>
      </c>
      <c r="L71" s="213">
        <f t="shared" si="90"/>
        <v>0.21628643216080412</v>
      </c>
    </row>
    <row r="72" spans="2:12" s="29" customFormat="1" ht="16.5" thickTop="1" thickBot="1" x14ac:dyDescent="0.3">
      <c r="B72" s="335" t="s">
        <v>201</v>
      </c>
      <c r="C72" s="212"/>
      <c r="D72" s="209"/>
      <c r="E72" s="209"/>
      <c r="F72" s="209"/>
      <c r="G72" s="209"/>
      <c r="H72" s="213">
        <f>C28</f>
        <v>0.20728643216080411</v>
      </c>
      <c r="I72" s="213">
        <f>H72+0.1%</f>
        <v>0.20828643216080411</v>
      </c>
      <c r="J72" s="213">
        <f t="shared" ref="J72:L72" si="91">I72+0.1%</f>
        <v>0.20928643216080411</v>
      </c>
      <c r="K72" s="213">
        <f t="shared" si="91"/>
        <v>0.21028643216080412</v>
      </c>
      <c r="L72" s="213">
        <f t="shared" si="91"/>
        <v>0.21128643216080412</v>
      </c>
    </row>
    <row r="73" spans="2:12" ht="16.5" thickTop="1" thickBot="1" x14ac:dyDescent="0.3">
      <c r="B73" s="337" t="s">
        <v>283</v>
      </c>
      <c r="C73" s="124"/>
      <c r="D73" s="125"/>
      <c r="E73" s="125"/>
      <c r="F73" s="125"/>
      <c r="G73" s="125"/>
      <c r="H73" s="125"/>
      <c r="I73" s="125"/>
      <c r="J73" s="125"/>
      <c r="K73" s="125"/>
      <c r="L73" s="126"/>
    </row>
    <row r="74" spans="2:12" s="29" customFormat="1" ht="16.5" thickTop="1" thickBot="1" x14ac:dyDescent="0.3">
      <c r="B74" s="335" t="s">
        <v>200</v>
      </c>
      <c r="C74" s="212"/>
      <c r="D74" s="209"/>
      <c r="E74" s="209"/>
      <c r="F74" s="209"/>
      <c r="G74" s="209"/>
      <c r="H74" s="213">
        <f>H75-0.5%</f>
        <v>0.40276333329397218</v>
      </c>
      <c r="I74" s="213">
        <f t="shared" ref="I74:L74" si="92">I75-0.5%</f>
        <v>0.40594795915378651</v>
      </c>
      <c r="J74" s="213">
        <f t="shared" si="92"/>
        <v>0.40724667216013644</v>
      </c>
      <c r="K74" s="213">
        <f t="shared" si="92"/>
        <v>0.40377181223584385</v>
      </c>
      <c r="L74" s="213">
        <f t="shared" si="92"/>
        <v>0.40194700009289086</v>
      </c>
    </row>
    <row r="75" spans="2:12" s="29" customFormat="1" ht="16.5" thickTop="1" thickBot="1" x14ac:dyDescent="0.3">
      <c r="B75" s="335" t="s">
        <v>201</v>
      </c>
      <c r="C75" s="212"/>
      <c r="D75" s="209"/>
      <c r="E75" s="209"/>
      <c r="F75" s="209"/>
      <c r="G75" s="209"/>
      <c r="H75" s="213">
        <f>AVERAGE(C34:G34)</f>
        <v>0.40776333329397219</v>
      </c>
      <c r="I75" s="213">
        <f>AVERAGE(D34:H34)</f>
        <v>0.41094795915378651</v>
      </c>
      <c r="J75" s="213">
        <f>AVERAGE(E34:I34)</f>
        <v>0.41224667216013644</v>
      </c>
      <c r="K75" s="213">
        <f>AVERAGE(F34:J34)</f>
        <v>0.40877181223584386</v>
      </c>
      <c r="L75" s="213">
        <f>AVERAGE(G34:K34)</f>
        <v>0.40694700009289086</v>
      </c>
    </row>
    <row r="76" spans="2:12" ht="16.5" thickTop="1" thickBot="1" x14ac:dyDescent="0.3">
      <c r="B76" s="337" t="s">
        <v>284</v>
      </c>
      <c r="C76" s="124"/>
      <c r="D76" s="125"/>
      <c r="E76" s="125"/>
      <c r="F76" s="125"/>
      <c r="G76" s="125"/>
      <c r="H76" s="125"/>
      <c r="I76" s="125"/>
      <c r="J76" s="125"/>
      <c r="K76" s="125"/>
      <c r="L76" s="126"/>
    </row>
    <row r="77" spans="2:12" s="29" customFormat="1" ht="16.5" thickTop="1" thickBot="1" x14ac:dyDescent="0.3">
      <c r="B77" s="335" t="s">
        <v>200</v>
      </c>
      <c r="C77" s="212"/>
      <c r="D77" s="209"/>
      <c r="E77" s="209"/>
      <c r="F77" s="209"/>
      <c r="G77" s="209"/>
      <c r="H77" s="213">
        <f>H78-0.5%</f>
        <v>0.36512668241669421</v>
      </c>
      <c r="I77" s="213">
        <f t="shared" ref="I77" si="93">I78-0.5%</f>
        <v>0.36606598890792574</v>
      </c>
      <c r="J77" s="213">
        <f t="shared" ref="J77" si="94">J78-0.5%</f>
        <v>0.36672428168979787</v>
      </c>
      <c r="K77" s="213">
        <f t="shared" ref="K77" si="95">K78-0.5%</f>
        <v>0.36799071647713688</v>
      </c>
      <c r="L77" s="213">
        <f t="shared" ref="L77" si="96">L78-0.5%</f>
        <v>0.36908318058255551</v>
      </c>
    </row>
    <row r="78" spans="2:12" s="29" customFormat="1" ht="16.5" thickTop="1" thickBot="1" x14ac:dyDescent="0.3">
      <c r="B78" s="335" t="s">
        <v>201</v>
      </c>
      <c r="C78" s="212"/>
      <c r="D78" s="209"/>
      <c r="E78" s="209"/>
      <c r="F78" s="209"/>
      <c r="G78" s="209"/>
      <c r="H78" s="213">
        <f>AVERAGE(C38:G38)</f>
        <v>0.37012668241669422</v>
      </c>
      <c r="I78" s="213">
        <f>AVERAGE(D38:H38)</f>
        <v>0.37106598890792575</v>
      </c>
      <c r="J78" s="213">
        <f>AVERAGE(E38:I38)</f>
        <v>0.37172428168979788</v>
      </c>
      <c r="K78" s="213">
        <f>AVERAGE(F38:J38)</f>
        <v>0.37299071647713689</v>
      </c>
      <c r="L78" s="213">
        <f>AVERAGE(G38:K38)</f>
        <v>0.37408318058255552</v>
      </c>
    </row>
    <row r="79" spans="2:12" ht="15.75" thickTop="1" x14ac:dyDescent="0.25"/>
    <row r="80" spans="2:12" x14ac:dyDescent="0.25">
      <c r="B80" s="23" t="s">
        <v>22</v>
      </c>
    </row>
    <row r="81" spans="2:2" x14ac:dyDescent="0.25">
      <c r="B81" t="s">
        <v>23</v>
      </c>
    </row>
  </sheetData>
  <mergeCells count="4">
    <mergeCell ref="C12:G12"/>
    <mergeCell ref="H12:L12"/>
    <mergeCell ref="C51:G51"/>
    <mergeCell ref="H51:L51"/>
  </mergeCells>
  <dataValidations count="1">
    <dataValidation type="list" allowBlank="1" showInputMessage="1" showErrorMessage="1" prompt="Select Case" sqref="B10" xr:uid="{4149636D-9120-4756-898C-254783C061DB}">
      <formula1>$B$49:$B$50</formula1>
    </dataValidation>
  </dataValidations>
  <pageMargins left="0.70866141732283472" right="0.70866141732283472" top="0.74803149606299213" bottom="0.74803149606299213" header="0.31496062992125984" footer="0.31496062992125984"/>
  <pageSetup scale="60" orientation="landscape" r:id="rId1"/>
  <rowBreaks count="1" manualBreakCount="1">
    <brk id="47" max="12" man="1"/>
  </rowBreaks>
  <ignoredErrors>
    <ignoredError sqref="H17:L17 H27:L29 D29:G29 K62 H41:L41 H43:L43 H45:L45 H19:L26" formula="1"/>
  </ignoredError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A662-4122-4FF1-BEA8-DE8533E90994}">
  <dimension ref="A1:Z81"/>
  <sheetViews>
    <sheetView showGridLines="0" view="pageBreakPreview" zoomScale="80" zoomScaleNormal="80" zoomScaleSheetLayoutView="80" workbookViewId="0">
      <pane xSplit="2" ySplit="10" topLeftCell="C11" activePane="bottomRight" state="frozen"/>
      <selection pane="topRight"/>
      <selection pane="bottomLeft"/>
      <selection pane="bottomRight" activeCell="P11" sqref="P11"/>
    </sheetView>
  </sheetViews>
  <sheetFormatPr defaultRowHeight="15" x14ac:dyDescent="0.25"/>
  <cols>
    <col min="1" max="1" width="3.7109375" bestFit="1" customWidth="1"/>
    <col min="2" max="2" width="46.140625" bestFit="1" customWidth="1"/>
    <col min="3" max="4" width="10.5703125" bestFit="1" customWidth="1"/>
    <col min="5" max="7" width="9.28515625" bestFit="1" customWidth="1"/>
    <col min="8" max="8" width="10.28515625" bestFit="1" customWidth="1"/>
    <col min="9" max="10" width="9.5703125" bestFit="1" customWidth="1"/>
    <col min="11" max="12" width="10.28515625" bestFit="1" customWidth="1"/>
    <col min="13" max="13" width="3" bestFit="1" customWidth="1"/>
    <col min="16" max="25" width="9.5703125" bestFit="1" customWidth="1"/>
  </cols>
  <sheetData>
    <row r="1" spans="1:25" x14ac:dyDescent="0.25">
      <c r="P1" s="8"/>
      <c r="Q1" s="156"/>
    </row>
    <row r="7" spans="1:25" x14ac:dyDescent="0.25">
      <c r="A7" s="31"/>
    </row>
    <row r="8" spans="1:25" ht="15.75" thickBot="1" x14ac:dyDescent="0.3">
      <c r="A8" s="31"/>
    </row>
    <row r="9" spans="1:25" ht="18.75" thickTop="1" thickBot="1" x14ac:dyDescent="0.3">
      <c r="B9" s="12" t="s">
        <v>20</v>
      </c>
      <c r="C9" s="666" t="s">
        <v>21</v>
      </c>
      <c r="D9" s="666"/>
      <c r="E9" s="666"/>
      <c r="F9" s="666"/>
      <c r="G9" s="666"/>
      <c r="H9" s="666" t="s">
        <v>67</v>
      </c>
      <c r="I9" s="666"/>
      <c r="J9" s="666"/>
      <c r="K9" s="666"/>
      <c r="L9" s="666"/>
    </row>
    <row r="10" spans="1:25" ht="16.5" thickTop="1" thickBot="1" x14ac:dyDescent="0.3">
      <c r="B10" s="13"/>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c r="P10">
        <v>2020</v>
      </c>
      <c r="Q10">
        <v>2020</v>
      </c>
      <c r="R10">
        <v>2021</v>
      </c>
      <c r="S10">
        <v>2022</v>
      </c>
      <c r="T10">
        <v>2023</v>
      </c>
      <c r="U10">
        <v>2024</v>
      </c>
      <c r="V10">
        <v>2025</v>
      </c>
      <c r="W10">
        <v>2026</v>
      </c>
      <c r="X10">
        <v>2027</v>
      </c>
      <c r="Y10">
        <v>2028</v>
      </c>
    </row>
    <row r="11" spans="1:25" ht="16.5" thickTop="1" thickBot="1" x14ac:dyDescent="0.3">
      <c r="A11" s="31" t="s">
        <v>57</v>
      </c>
      <c r="B11" s="169" t="s">
        <v>209</v>
      </c>
      <c r="C11" s="86"/>
      <c r="D11" s="87"/>
      <c r="E11" s="87"/>
      <c r="F11" s="87"/>
      <c r="G11" s="87"/>
      <c r="H11" s="87"/>
      <c r="I11" s="87"/>
      <c r="J11" s="87"/>
      <c r="K11" s="87"/>
      <c r="L11" s="88"/>
    </row>
    <row r="12" spans="1:25" ht="16.5" thickTop="1" thickBot="1" x14ac:dyDescent="0.3">
      <c r="B12" s="170" t="s">
        <v>15</v>
      </c>
      <c r="C12" s="165">
        <f>BS!C14</f>
        <v>1264</v>
      </c>
      <c r="D12" s="165">
        <f>BS!D14</f>
        <v>1297</v>
      </c>
      <c r="E12" s="165">
        <f>BS!E14</f>
        <v>1504</v>
      </c>
      <c r="F12" s="165">
        <f>BS!F14</f>
        <v>1586</v>
      </c>
      <c r="G12" s="165">
        <f>BS!G14</f>
        <v>1521</v>
      </c>
      <c r="H12" s="316">
        <f>H13*H23/365</f>
        <v>1696.5890205620406</v>
      </c>
      <c r="I12" s="316">
        <f t="shared" ref="I12:L12" si="1">I13*I23/365</f>
        <v>1841.8880734928896</v>
      </c>
      <c r="J12" s="316">
        <f t="shared" si="1"/>
        <v>2020.7112981948856</v>
      </c>
      <c r="K12" s="316">
        <f t="shared" si="1"/>
        <v>2183.6898030927687</v>
      </c>
      <c r="L12" s="316">
        <f t="shared" si="1"/>
        <v>2383.2857304196214</v>
      </c>
      <c r="O12" t="s">
        <v>204</v>
      </c>
      <c r="Q12" s="32"/>
    </row>
    <row r="13" spans="1:25" ht="16.5" thickTop="1" thickBot="1" x14ac:dyDescent="0.3">
      <c r="B13" s="171" t="s">
        <v>210</v>
      </c>
      <c r="C13" s="267">
        <f>C12/C23*365</f>
        <v>28.010442596077954</v>
      </c>
      <c r="D13" s="267">
        <f t="shared" ref="D13:G13" si="2">D12/D23*365</f>
        <v>27.174387233798289</v>
      </c>
      <c r="E13" s="267">
        <f t="shared" si="2"/>
        <v>30.553793065063729</v>
      </c>
      <c r="F13" s="267">
        <f t="shared" si="2"/>
        <v>29.752274245772732</v>
      </c>
      <c r="G13" s="267">
        <f t="shared" si="2"/>
        <v>27.618775185314163</v>
      </c>
      <c r="H13" s="181">
        <f>AVERAGE(C13:G13)</f>
        <v>28.621934465205367</v>
      </c>
      <c r="I13" s="181">
        <f t="shared" ref="I13:L13" si="3">AVERAGE(D13:H13)</f>
        <v>28.744232839030854</v>
      </c>
      <c r="J13" s="181">
        <f t="shared" si="3"/>
        <v>29.058201960077373</v>
      </c>
      <c r="K13" s="181">
        <f t="shared" si="3"/>
        <v>28.759083739080097</v>
      </c>
      <c r="L13" s="181">
        <f t="shared" si="3"/>
        <v>28.560445637741573</v>
      </c>
      <c r="O13" t="s">
        <v>210</v>
      </c>
      <c r="P13" s="32">
        <f>C13-'Key Ratios'!C26</f>
        <v>0</v>
      </c>
      <c r="Q13" s="32">
        <f>D13-'Key Ratios'!D26</f>
        <v>0</v>
      </c>
      <c r="R13" s="32">
        <f>E13-'Key Ratios'!E26</f>
        <v>0</v>
      </c>
      <c r="S13" s="32">
        <f>F13-'Key Ratios'!F26</f>
        <v>0</v>
      </c>
      <c r="T13" s="32">
        <f>G13-'Key Ratios'!G26</f>
        <v>0</v>
      </c>
      <c r="U13" s="32">
        <f>H13-'Key Ratios'!H26</f>
        <v>0</v>
      </c>
      <c r="V13" s="32">
        <f>I13-'Key Ratios'!I26</f>
        <v>0</v>
      </c>
      <c r="W13" s="32">
        <f>J13-'Key Ratios'!J26</f>
        <v>0</v>
      </c>
      <c r="X13" s="32">
        <f>K13-'Key Ratios'!K26</f>
        <v>0</v>
      </c>
      <c r="Y13" s="32">
        <f>L13-'Key Ratios'!L26</f>
        <v>0</v>
      </c>
    </row>
    <row r="14" spans="1:25" ht="16.5" thickTop="1" thickBot="1" x14ac:dyDescent="0.3">
      <c r="B14" s="170" t="s">
        <v>13</v>
      </c>
      <c r="C14" s="165">
        <f>BS!C15</f>
        <v>1673</v>
      </c>
      <c r="D14" s="165">
        <f>BS!D15</f>
        <v>1692</v>
      </c>
      <c r="E14" s="165">
        <f>BS!E15</f>
        <v>2074</v>
      </c>
      <c r="F14" s="165">
        <f>BS!F15</f>
        <v>1934</v>
      </c>
      <c r="G14" s="165">
        <f>BS!G15</f>
        <v>1987</v>
      </c>
      <c r="H14" s="316">
        <f>H15*H24/365</f>
        <v>2216.4105226973561</v>
      </c>
      <c r="I14" s="316">
        <f t="shared" ref="I14:L14" si="4">I15*I24/365</f>
        <v>2399.3454459954633</v>
      </c>
      <c r="J14" s="316">
        <f t="shared" si="4"/>
        <v>2631.9504600789992</v>
      </c>
      <c r="K14" s="316">
        <f t="shared" si="4"/>
        <v>2810.7140685442751</v>
      </c>
      <c r="L14" s="316">
        <f t="shared" si="4"/>
        <v>3100.5648023086669</v>
      </c>
      <c r="P14" s="32"/>
      <c r="Q14" s="180"/>
      <c r="R14" s="180"/>
      <c r="S14" s="180"/>
      <c r="T14" s="180"/>
      <c r="U14" s="180"/>
      <c r="V14" s="180"/>
      <c r="W14" s="180"/>
      <c r="X14" s="180"/>
      <c r="Y14" s="180"/>
    </row>
    <row r="15" spans="1:25" ht="16.5" thickTop="1" thickBot="1" x14ac:dyDescent="0.3">
      <c r="B15" s="171" t="s">
        <v>211</v>
      </c>
      <c r="C15" s="267">
        <f>C14/C24*365</f>
        <v>94.614967462039047</v>
      </c>
      <c r="D15" s="267">
        <f t="shared" ref="D15:G15" si="5">D14/D24*365</f>
        <v>87.649730343457279</v>
      </c>
      <c r="E15" s="267">
        <f t="shared" si="5"/>
        <v>98.070993652027468</v>
      </c>
      <c r="F15" s="267">
        <f t="shared" si="5"/>
        <v>86.817119665477804</v>
      </c>
      <c r="G15" s="267">
        <f t="shared" si="5"/>
        <v>91.341939546599491</v>
      </c>
      <c r="H15" s="181">
        <f>AVERAGE(C15:G15)</f>
        <v>91.698950133920221</v>
      </c>
      <c r="I15" s="181">
        <f t="shared" ref="I15" si="6">AVERAGE(D15:H15)</f>
        <v>91.115746668296453</v>
      </c>
      <c r="J15" s="181">
        <f t="shared" ref="J15" si="7">AVERAGE(E15:I15)</f>
        <v>91.808949933264287</v>
      </c>
      <c r="K15" s="181">
        <f t="shared" ref="K15" si="8">AVERAGE(F15:J15)</f>
        <v>90.556541189511648</v>
      </c>
      <c r="L15" s="181">
        <f t="shared" ref="L15" si="9">AVERAGE(G15:K15)</f>
        <v>91.304425494318409</v>
      </c>
      <c r="P15" s="191"/>
      <c r="Q15" s="192"/>
      <c r="R15" s="192"/>
      <c r="S15" s="192"/>
      <c r="T15" s="192"/>
      <c r="U15" s="193"/>
      <c r="V15" s="193"/>
      <c r="W15" s="193"/>
      <c r="X15" s="193"/>
      <c r="Y15" s="193"/>
    </row>
    <row r="16" spans="1:25" ht="16.5" thickTop="1" thickBot="1" x14ac:dyDescent="0.3">
      <c r="B16" s="170" t="s">
        <v>292</v>
      </c>
      <c r="C16" s="165">
        <f>BS!C16</f>
        <v>513</v>
      </c>
      <c r="D16" s="165">
        <f>BS!D16</f>
        <v>576</v>
      </c>
      <c r="E16" s="165">
        <f>BS!E16</f>
        <v>760</v>
      </c>
      <c r="F16" s="165">
        <f>BS!F16</f>
        <v>793</v>
      </c>
      <c r="G16" s="165">
        <f>BS!G16</f>
        <v>713</v>
      </c>
      <c r="H16" s="316">
        <f>H17*H23</f>
        <v>790.72513046977235</v>
      </c>
      <c r="I16" s="316">
        <f t="shared" ref="I16:L16" si="10">I17*I23</f>
        <v>880.05923548649844</v>
      </c>
      <c r="J16" s="316">
        <f t="shared" si="10"/>
        <v>978.23849710759703</v>
      </c>
      <c r="K16" s="316">
        <f t="shared" si="10"/>
        <v>1047.2946359931518</v>
      </c>
      <c r="L16" s="316">
        <f t="shared" si="10"/>
        <v>1132.8903078035012</v>
      </c>
    </row>
    <row r="17" spans="1:25" s="211" customFormat="1" ht="16.5" thickTop="1" thickBot="1" x14ac:dyDescent="0.3">
      <c r="B17" s="544" t="s">
        <v>206</v>
      </c>
      <c r="C17" s="113">
        <f>C16/C23</f>
        <v>3.1145649930180316E-2</v>
      </c>
      <c r="D17" s="113">
        <f t="shared" ref="D17:G17" si="11">D16/D23</f>
        <v>3.3063543998622352E-2</v>
      </c>
      <c r="E17" s="113">
        <f t="shared" si="11"/>
        <v>4.2299771803862636E-2</v>
      </c>
      <c r="F17" s="113">
        <f t="shared" si="11"/>
        <v>4.0756540062702372E-2</v>
      </c>
      <c r="G17" s="113">
        <f t="shared" si="11"/>
        <v>3.5470872095915623E-2</v>
      </c>
      <c r="H17" s="113">
        <f>AVERAGE(C17:G17)</f>
        <v>3.6547275578256662E-2</v>
      </c>
      <c r="I17" s="113">
        <f t="shared" ref="I17:L17" si="12">AVERAGE(D17:H17)</f>
        <v>3.7627600707871925E-2</v>
      </c>
      <c r="J17" s="113">
        <f t="shared" si="12"/>
        <v>3.8540412049721841E-2</v>
      </c>
      <c r="K17" s="113">
        <f t="shared" si="12"/>
        <v>3.778854009889368E-2</v>
      </c>
      <c r="L17" s="113">
        <f t="shared" si="12"/>
        <v>3.7194940106131946E-2</v>
      </c>
      <c r="U17" s="545"/>
      <c r="V17" s="545"/>
      <c r="W17" s="545"/>
      <c r="X17" s="545"/>
      <c r="Y17" s="545"/>
    </row>
    <row r="18" spans="1:25" ht="16.5" thickTop="1" thickBot="1" x14ac:dyDescent="0.3">
      <c r="B18" s="170" t="s">
        <v>299</v>
      </c>
      <c r="C18" s="165">
        <f>BS!C32</f>
        <v>1393</v>
      </c>
      <c r="D18" s="165">
        <f>BS!D32</f>
        <v>1479</v>
      </c>
      <c r="E18" s="165">
        <f>BS!E32</f>
        <v>1551</v>
      </c>
      <c r="F18" s="165">
        <f>BS!F32</f>
        <v>1698</v>
      </c>
      <c r="G18" s="165">
        <f>BS!G32</f>
        <v>1805</v>
      </c>
      <c r="H18" s="316">
        <f>H24*H19/365</f>
        <v>1875.3156967934112</v>
      </c>
      <c r="I18" s="316">
        <f t="shared" ref="I18:L18" si="13">I24*I19/365</f>
        <v>2036.8093337813675</v>
      </c>
      <c r="J18" s="316">
        <f t="shared" si="13"/>
        <v>2221.5984008275977</v>
      </c>
      <c r="K18" s="316">
        <f t="shared" si="13"/>
        <v>2431.0915217638722</v>
      </c>
      <c r="L18" s="316">
        <f t="shared" si="13"/>
        <v>2674.1078683156638</v>
      </c>
    </row>
    <row r="19" spans="1:25" ht="16.5" thickTop="1" thickBot="1" x14ac:dyDescent="0.3">
      <c r="B19" s="171" t="s">
        <v>239</v>
      </c>
      <c r="C19" s="267">
        <f>C18/C24*365</f>
        <v>78.779826464208242</v>
      </c>
      <c r="D19" s="267">
        <f t="shared" ref="D19:G19" si="14">D18/D24*365</f>
        <v>76.615810388873129</v>
      </c>
      <c r="E19" s="267">
        <f t="shared" si="14"/>
        <v>73.340458608628055</v>
      </c>
      <c r="F19" s="267">
        <f t="shared" si="14"/>
        <v>76.223096790062726</v>
      </c>
      <c r="G19" s="267">
        <f t="shared" si="14"/>
        <v>82.975440806045341</v>
      </c>
      <c r="H19" s="181">
        <f>AVERAGE(C19:G19)</f>
        <v>77.586926611563499</v>
      </c>
      <c r="I19" s="181">
        <f t="shared" ref="I19" si="15">AVERAGE(D19:H19)</f>
        <v>77.348346641034553</v>
      </c>
      <c r="J19" s="181">
        <f t="shared" ref="J19" si="16">AVERAGE(E19:I19)</f>
        <v>77.494853891466832</v>
      </c>
      <c r="K19" s="181">
        <f t="shared" ref="K19" si="17">AVERAGE(F19:J19)</f>
        <v>78.325732948034585</v>
      </c>
      <c r="L19" s="181">
        <f t="shared" ref="L19" si="18">AVERAGE(G19:K19)</f>
        <v>78.746260179628962</v>
      </c>
      <c r="O19" t="s">
        <v>239</v>
      </c>
      <c r="P19" s="194">
        <f>C19-'Key Ratios'!C27</f>
        <v>0</v>
      </c>
      <c r="Q19" s="194">
        <f>D19-'Key Ratios'!D27</f>
        <v>0</v>
      </c>
      <c r="R19" s="194">
        <f>E19-'Key Ratios'!E27</f>
        <v>0</v>
      </c>
      <c r="S19" s="194">
        <f>F19-'Key Ratios'!F27</f>
        <v>0</v>
      </c>
      <c r="T19" s="194">
        <f>G19-'Key Ratios'!G27</f>
        <v>0</v>
      </c>
      <c r="U19" s="194">
        <f>H19-'Key Ratios'!H27</f>
        <v>0</v>
      </c>
      <c r="V19" s="194">
        <f>I19-'Key Ratios'!I27</f>
        <v>0</v>
      </c>
      <c r="W19" s="194">
        <f>J19-'Key Ratios'!J27</f>
        <v>0</v>
      </c>
      <c r="X19" s="194">
        <f>K19-'Key Ratios'!K27</f>
        <v>0</v>
      </c>
      <c r="Y19" s="194">
        <f>L19-'Key Ratios'!L27</f>
        <v>0</v>
      </c>
    </row>
    <row r="20" spans="1:25" ht="16.5" thickTop="1" thickBot="1" x14ac:dyDescent="0.3">
      <c r="B20" s="170" t="s">
        <v>301</v>
      </c>
      <c r="C20" s="165">
        <f>BS!C34</f>
        <v>2341</v>
      </c>
      <c r="D20" s="165">
        <f>BS!D34</f>
        <v>2085</v>
      </c>
      <c r="E20" s="165">
        <f>BS!E34</f>
        <v>2111</v>
      </c>
      <c r="F20" s="165">
        <f>BS!F34</f>
        <v>2377</v>
      </c>
      <c r="G20" s="165">
        <f>BS!G34</f>
        <v>2891</v>
      </c>
      <c r="H20" s="316">
        <f>H21*H24</f>
        <v>2802.9271901111956</v>
      </c>
      <c r="I20" s="316">
        <f t="shared" ref="I20:L20" si="19">I21*I24</f>
        <v>2967.1712890473327</v>
      </c>
      <c r="J20" s="316">
        <f t="shared" si="19"/>
        <v>3257.0300233931689</v>
      </c>
      <c r="K20" s="316">
        <f t="shared" si="19"/>
        <v>3611.9742225728182</v>
      </c>
      <c r="L20" s="316">
        <f t="shared" si="19"/>
        <v>4017.4819628902692</v>
      </c>
    </row>
    <row r="21" spans="1:25" s="211" customFormat="1" ht="16.5" thickTop="1" thickBot="1" x14ac:dyDescent="0.3">
      <c r="B21" s="544" t="s">
        <v>406</v>
      </c>
      <c r="C21" s="113">
        <f>C20/C24</f>
        <v>0.36272079330647661</v>
      </c>
      <c r="D21" s="113">
        <f t="shared" ref="D21:G21" si="20">D20/D24</f>
        <v>0.29591257451036052</v>
      </c>
      <c r="E21" s="113">
        <f t="shared" si="20"/>
        <v>0.27348102085762405</v>
      </c>
      <c r="F21" s="113">
        <f t="shared" si="20"/>
        <v>0.29233796580986349</v>
      </c>
      <c r="G21" s="113">
        <f t="shared" si="20"/>
        <v>0.36410579345088162</v>
      </c>
      <c r="H21" s="113">
        <f>AVERAGE(C21:G21)</f>
        <v>0.31771162958704124</v>
      </c>
      <c r="I21" s="113">
        <f t="shared" ref="I21:L21" si="21">AVERAGE(D21:H21)</f>
        <v>0.30870979684315414</v>
      </c>
      <c r="J21" s="113">
        <f t="shared" si="21"/>
        <v>0.3112692413097129</v>
      </c>
      <c r="K21" s="113">
        <f t="shared" si="21"/>
        <v>0.31882688540013071</v>
      </c>
      <c r="L21" s="113">
        <f t="shared" si="21"/>
        <v>0.32412466931818412</v>
      </c>
    </row>
    <row r="22" spans="1:25" ht="16.5" thickTop="1" thickBot="1" x14ac:dyDescent="0.3">
      <c r="C22" s="48"/>
      <c r="D22" s="48"/>
      <c r="E22" s="48"/>
      <c r="F22" s="48"/>
      <c r="G22" s="48"/>
      <c r="H22" s="48"/>
      <c r="I22" s="48"/>
      <c r="J22" s="48"/>
      <c r="K22" s="48"/>
      <c r="L22" s="48"/>
      <c r="U22" s="32"/>
    </row>
    <row r="23" spans="1:25" ht="16.5" thickTop="1" thickBot="1" x14ac:dyDescent="0.3">
      <c r="B23" s="170" t="s">
        <v>69</v>
      </c>
      <c r="C23" s="56">
        <f>'IS Assumptions'!C29</f>
        <v>16471</v>
      </c>
      <c r="D23" s="56">
        <f>'IS Assumptions'!D29</f>
        <v>17421</v>
      </c>
      <c r="E23" s="56">
        <f>'IS Assumptions'!E29</f>
        <v>17967</v>
      </c>
      <c r="F23" s="56">
        <f>'IS Assumptions'!F29</f>
        <v>19457</v>
      </c>
      <c r="G23" s="56">
        <f>'IS Assumptions'!G29</f>
        <v>20101</v>
      </c>
      <c r="H23" s="56">
        <f>'IS Assumptions'!H29</f>
        <v>21635.679211618288</v>
      </c>
      <c r="I23" s="56">
        <f>'IS Assumptions'!I29</f>
        <v>23388.662017516963</v>
      </c>
      <c r="J23" s="56">
        <f>'IS Assumptions'!J29</f>
        <v>25382.149413596042</v>
      </c>
      <c r="K23" s="56">
        <f>'IS Assumptions'!K29</f>
        <v>27714.609594664202</v>
      </c>
      <c r="L23" s="56">
        <f>'IS Assumptions'!L29</f>
        <v>30458.183413413622</v>
      </c>
    </row>
    <row r="24" spans="1:25" ht="16.5" thickTop="1" thickBot="1" x14ac:dyDescent="0.3">
      <c r="B24" s="172" t="s">
        <v>342</v>
      </c>
      <c r="C24" s="56">
        <f>'IS Assumptions'!C33</f>
        <v>6454</v>
      </c>
      <c r="D24" s="56">
        <f>'IS Assumptions'!D33</f>
        <v>7046</v>
      </c>
      <c r="E24" s="56">
        <f>'IS Assumptions'!E33</f>
        <v>7719</v>
      </c>
      <c r="F24" s="56">
        <f>'IS Assumptions'!F33</f>
        <v>8131</v>
      </c>
      <c r="G24" s="56">
        <f>'IS Assumptions'!G33</f>
        <v>7940</v>
      </c>
      <c r="H24" s="56">
        <f>'IS Assumptions'!H33</f>
        <v>8822.2366734085736</v>
      </c>
      <c r="I24" s="56">
        <f>'IS Assumptions'!I33</f>
        <v>9611.5229234362796</v>
      </c>
      <c r="J24" s="56">
        <f>'IS Assumptions'!J33</f>
        <v>10463.706628026326</v>
      </c>
      <c r="K24" s="56">
        <f>'IS Assumptions'!K33</f>
        <v>11328.951189419791</v>
      </c>
      <c r="L24" s="56">
        <f>'IS Assumptions'!L33</f>
        <v>12394.86636836772</v>
      </c>
    </row>
    <row r="25" spans="1:25" ht="16.5" thickTop="1" thickBot="1" x14ac:dyDescent="0.3"/>
    <row r="26" spans="1:25" ht="16.5" thickTop="1" thickBot="1" x14ac:dyDescent="0.3">
      <c r="A26" s="31" t="s">
        <v>118</v>
      </c>
      <c r="B26" s="12" t="s">
        <v>212</v>
      </c>
    </row>
    <row r="27" spans="1:25" ht="16.5" thickTop="1" thickBot="1" x14ac:dyDescent="0.3">
      <c r="B27" t="s">
        <v>213</v>
      </c>
      <c r="C27" s="341">
        <v>166</v>
      </c>
      <c r="D27" s="341">
        <v>163</v>
      </c>
      <c r="E27" s="341">
        <v>180</v>
      </c>
      <c r="F27" s="341">
        <v>227</v>
      </c>
      <c r="G27" s="341">
        <v>227</v>
      </c>
      <c r="H27" s="160"/>
      <c r="I27" s="160"/>
      <c r="J27" s="160"/>
      <c r="K27" s="160"/>
      <c r="L27" s="160"/>
    </row>
    <row r="28" spans="1:25" ht="16.5" thickTop="1" thickBot="1" x14ac:dyDescent="0.3">
      <c r="B28" t="s">
        <v>214</v>
      </c>
      <c r="C28" s="341">
        <v>1623</v>
      </c>
      <c r="D28" s="341">
        <v>1603</v>
      </c>
      <c r="E28" s="341">
        <v>1825</v>
      </c>
      <c r="F28" s="341">
        <v>2047</v>
      </c>
      <c r="G28" s="341">
        <v>2047</v>
      </c>
      <c r="H28" s="160"/>
      <c r="I28" s="160"/>
      <c r="J28" s="160"/>
      <c r="K28" s="160"/>
      <c r="L28" s="160"/>
    </row>
    <row r="29" spans="1:25" ht="16.5" thickTop="1" thickBot="1" x14ac:dyDescent="0.3">
      <c r="B29" t="s">
        <v>343</v>
      </c>
      <c r="C29" s="341">
        <v>5409</v>
      </c>
      <c r="D29" s="341">
        <v>5527</v>
      </c>
      <c r="E29" s="341">
        <v>6001</v>
      </c>
      <c r="F29" s="341">
        <v>6365</v>
      </c>
      <c r="G29" s="341">
        <v>6365</v>
      </c>
      <c r="H29" s="160"/>
      <c r="I29" s="160"/>
      <c r="J29" s="160"/>
      <c r="K29" s="160"/>
      <c r="L29" s="160"/>
    </row>
    <row r="30" spans="1:25" ht="15.75" thickTop="1" x14ac:dyDescent="0.25">
      <c r="B30" t="s">
        <v>339</v>
      </c>
      <c r="C30" s="343">
        <v>1553</v>
      </c>
      <c r="D30" s="343">
        <v>1606</v>
      </c>
      <c r="E30" s="343">
        <v>1577</v>
      </c>
      <c r="F30" s="343">
        <v>1647</v>
      </c>
      <c r="G30" s="343">
        <v>1647</v>
      </c>
      <c r="H30" s="160"/>
      <c r="I30" s="160"/>
      <c r="J30" s="160"/>
      <c r="K30" s="160"/>
      <c r="L30" s="160"/>
      <c r="R30" s="31"/>
      <c r="S30" s="31"/>
      <c r="T30" s="31"/>
      <c r="U30" s="31"/>
      <c r="V30" s="31"/>
    </row>
    <row r="31" spans="1:25" s="31" customFormat="1" x14ac:dyDescent="0.25">
      <c r="B31" s="173" t="s">
        <v>215</v>
      </c>
      <c r="C31" s="347">
        <f>SUM(C27:C30)</f>
        <v>8751</v>
      </c>
      <c r="D31" s="347">
        <f t="shared" ref="D31:G31" si="22">SUM(D27:D30)</f>
        <v>8899</v>
      </c>
      <c r="E31" s="347">
        <f t="shared" si="22"/>
        <v>9583</v>
      </c>
      <c r="F31" s="347">
        <f t="shared" si="22"/>
        <v>10286</v>
      </c>
      <c r="G31" s="347">
        <f t="shared" si="22"/>
        <v>10286</v>
      </c>
      <c r="H31" s="347">
        <f>G31+H35</f>
        <v>10979.724913169262</v>
      </c>
      <c r="I31" s="347">
        <f t="shared" ref="I31:L31" si="23">H31+I35</f>
        <v>11763.204617971651</v>
      </c>
      <c r="J31" s="347">
        <f t="shared" si="23"/>
        <v>12618.29212914872</v>
      </c>
      <c r="K31" s="347">
        <f t="shared" si="23"/>
        <v>13523.969783897423</v>
      </c>
      <c r="L31" s="347">
        <f t="shared" si="23"/>
        <v>14497.647891705501</v>
      </c>
      <c r="N31" s="174"/>
      <c r="O31" s="174"/>
      <c r="P31" s="174"/>
      <c r="Q31" s="174"/>
      <c r="R31"/>
      <c r="S31" s="174"/>
      <c r="T31" s="174"/>
    </row>
    <row r="32" spans="1:25" x14ac:dyDescent="0.25">
      <c r="B32" t="s">
        <v>216</v>
      </c>
      <c r="C32" s="348">
        <v>5035</v>
      </c>
      <c r="D32" s="348">
        <v>5169</v>
      </c>
      <c r="E32" s="348">
        <v>5276</v>
      </c>
      <c r="F32" s="348">
        <v>5704</v>
      </c>
      <c r="G32" s="348">
        <v>5704</v>
      </c>
      <c r="H32" s="349">
        <f>H31-H33</f>
        <v>6041.8517132666975</v>
      </c>
      <c r="I32" s="349">
        <f t="shared" ref="I32:L32" si="24">I31-I33</f>
        <v>6412.8262761209216</v>
      </c>
      <c r="J32" s="349">
        <f t="shared" si="24"/>
        <v>6731.3234266319323</v>
      </c>
      <c r="K32" s="349">
        <f t="shared" si="24"/>
        <v>7137.5005236286006</v>
      </c>
      <c r="L32" s="349">
        <f t="shared" si="24"/>
        <v>7508.9713715879425</v>
      </c>
      <c r="N32" s="167"/>
      <c r="O32" s="167"/>
      <c r="P32" s="167"/>
      <c r="Q32" s="167"/>
      <c r="S32" s="167"/>
      <c r="T32" s="167"/>
    </row>
    <row r="33" spans="1:26" s="31" customFormat="1" ht="15.75" thickBot="1" x14ac:dyDescent="0.3">
      <c r="B33" s="175" t="s">
        <v>217</v>
      </c>
      <c r="C33" s="350">
        <f>C31-C32</f>
        <v>3716</v>
      </c>
      <c r="D33" s="350">
        <f t="shared" ref="D33:E33" si="25">D31-D32</f>
        <v>3730</v>
      </c>
      <c r="E33" s="350">
        <f t="shared" si="25"/>
        <v>4307</v>
      </c>
      <c r="F33" s="350">
        <f t="shared" ref="F33" si="26">F31-F32</f>
        <v>4582</v>
      </c>
      <c r="G33" s="350">
        <f t="shared" ref="G33" si="27">G31-G32</f>
        <v>4582</v>
      </c>
      <c r="H33" s="320">
        <f>H23/H37</f>
        <v>4937.8731999025649</v>
      </c>
      <c r="I33" s="320">
        <f t="shared" ref="I33:L33" si="28">I23/I37</f>
        <v>5350.3783418507292</v>
      </c>
      <c r="J33" s="320">
        <f t="shared" si="28"/>
        <v>5886.9687025167877</v>
      </c>
      <c r="K33" s="320">
        <f t="shared" si="28"/>
        <v>6386.4692602688219</v>
      </c>
      <c r="L33" s="320">
        <f t="shared" si="28"/>
        <v>6988.6765201175585</v>
      </c>
      <c r="N33" s="174"/>
      <c r="O33" s="174"/>
      <c r="P33" s="174"/>
      <c r="Q33" s="174"/>
      <c r="R33"/>
      <c r="S33" s="174"/>
      <c r="T33" s="174"/>
    </row>
    <row r="34" spans="1:26" ht="16.5" thickTop="1" thickBot="1" x14ac:dyDescent="0.3"/>
    <row r="35" spans="1:26" ht="16.5" thickTop="1" thickBot="1" x14ac:dyDescent="0.3">
      <c r="B35" t="s">
        <v>218</v>
      </c>
      <c r="C35" s="50">
        <f>-CFS!C32</f>
        <v>410</v>
      </c>
      <c r="D35" s="50">
        <f>-CFS!D32</f>
        <v>567</v>
      </c>
      <c r="E35" s="50">
        <f>-CFS!E32</f>
        <v>696</v>
      </c>
      <c r="F35" s="50">
        <f>-CFS!F32</f>
        <v>705</v>
      </c>
      <c r="G35" s="50">
        <f>-CFS!G32</f>
        <v>561</v>
      </c>
      <c r="H35" s="181">
        <f>H23*H36</f>
        <v>693.72491316926187</v>
      </c>
      <c r="I35" s="181">
        <f t="shared" ref="I35:L35" si="29">I23*I36</f>
        <v>783.47970480238837</v>
      </c>
      <c r="J35" s="181">
        <f t="shared" si="29"/>
        <v>855.08751117706993</v>
      </c>
      <c r="K35" s="181">
        <f t="shared" si="29"/>
        <v>905.67765474870225</v>
      </c>
      <c r="L35" s="181">
        <f t="shared" si="29"/>
        <v>973.6781078080777</v>
      </c>
      <c r="O35" s="167"/>
    </row>
    <row r="36" spans="1:26" s="211" customFormat="1" ht="16.5" thickTop="1" thickBot="1" x14ac:dyDescent="0.3">
      <c r="B36" s="546" t="s">
        <v>206</v>
      </c>
      <c r="C36" s="338">
        <f>C35/C23</f>
        <v>2.4892234836986219E-2</v>
      </c>
      <c r="D36" s="338">
        <f t="shared" ref="D36:G36" si="30">D35/D23</f>
        <v>3.2546926123643877E-2</v>
      </c>
      <c r="E36" s="338">
        <f t="shared" si="30"/>
        <v>3.8737685757221571E-2</v>
      </c>
      <c r="F36" s="338">
        <f t="shared" si="30"/>
        <v>3.6233746209590377E-2</v>
      </c>
      <c r="G36" s="338">
        <f t="shared" si="30"/>
        <v>2.7909059250783543E-2</v>
      </c>
      <c r="H36" s="338">
        <f>AVERAGE(C36:G36)</f>
        <v>3.2063930435645115E-2</v>
      </c>
      <c r="I36" s="338">
        <f t="shared" ref="I36:L36" si="31">AVERAGE(D36:H36)</f>
        <v>3.3498269555376894E-2</v>
      </c>
      <c r="J36" s="338">
        <f t="shared" si="31"/>
        <v>3.3688538241723499E-2</v>
      </c>
      <c r="K36" s="338">
        <f t="shared" si="31"/>
        <v>3.2678708738623878E-2</v>
      </c>
      <c r="L36" s="338">
        <f t="shared" si="31"/>
        <v>3.1967701244430588E-2</v>
      </c>
    </row>
    <row r="37" spans="1:26" ht="16.5" thickTop="1" thickBot="1" x14ac:dyDescent="0.3">
      <c r="B37" t="s">
        <v>219</v>
      </c>
      <c r="C37" s="344">
        <f>C23/C33</f>
        <v>4.4324542518837458</v>
      </c>
      <c r="D37" s="344">
        <f t="shared" ref="D37:G37" si="32">D23/D33</f>
        <v>4.6705093833780165</v>
      </c>
      <c r="E37" s="344">
        <f t="shared" si="32"/>
        <v>4.1715811469700483</v>
      </c>
      <c r="F37" s="344">
        <f t="shared" si="32"/>
        <v>4.2463989524225232</v>
      </c>
      <c r="G37" s="344">
        <f t="shared" si="32"/>
        <v>4.3869489305979918</v>
      </c>
      <c r="H37" s="344">
        <f>AVERAGE(C37:G37)</f>
        <v>4.3815785330504653</v>
      </c>
      <c r="I37" s="344">
        <f t="shared" ref="I37:L37" si="33">AVERAGE(D37:H37)</f>
        <v>4.3714033892838087</v>
      </c>
      <c r="J37" s="344">
        <f t="shared" si="33"/>
        <v>4.3115821904649678</v>
      </c>
      <c r="K37" s="344">
        <f t="shared" si="33"/>
        <v>4.3395823991639517</v>
      </c>
      <c r="L37" s="344">
        <f t="shared" si="33"/>
        <v>4.3582190885122376</v>
      </c>
    </row>
    <row r="38" spans="1:26" ht="15.75" thickTop="1" x14ac:dyDescent="0.25"/>
    <row r="39" spans="1:26" s="31" customFormat="1" ht="15.75" thickBot="1" x14ac:dyDescent="0.3">
      <c r="B39" s="177" t="s">
        <v>220</v>
      </c>
      <c r="C39" s="351">
        <f>C32-4455</f>
        <v>580</v>
      </c>
      <c r="D39" s="351">
        <f>D32-C32</f>
        <v>134</v>
      </c>
      <c r="E39" s="351">
        <f t="shared" ref="E39:L39" si="34">E32-D32</f>
        <v>107</v>
      </c>
      <c r="F39" s="351">
        <f t="shared" si="34"/>
        <v>428</v>
      </c>
      <c r="G39" s="351">
        <f t="shared" si="34"/>
        <v>0</v>
      </c>
      <c r="H39" s="352">
        <f t="shared" si="34"/>
        <v>337.85171326669752</v>
      </c>
      <c r="I39" s="352">
        <f t="shared" si="34"/>
        <v>370.97456285422413</v>
      </c>
      <c r="J39" s="352">
        <f t="shared" si="34"/>
        <v>318.49715051101066</v>
      </c>
      <c r="K39" s="352">
        <f t="shared" si="34"/>
        <v>406.1770969966683</v>
      </c>
      <c r="L39" s="352">
        <f t="shared" si="34"/>
        <v>371.47084795934188</v>
      </c>
    </row>
    <row r="40" spans="1:26" ht="15.75" thickBot="1" x14ac:dyDescent="0.3">
      <c r="H40" s="167"/>
      <c r="I40" s="167"/>
      <c r="J40" s="167"/>
      <c r="K40" s="167"/>
      <c r="L40" s="167"/>
    </row>
    <row r="41" spans="1:26" ht="16.5" thickTop="1" thickBot="1" x14ac:dyDescent="0.3">
      <c r="A41" s="31" t="s">
        <v>119</v>
      </c>
      <c r="B41" s="12" t="s">
        <v>221</v>
      </c>
    </row>
    <row r="42" spans="1:26" ht="16.5" thickTop="1" thickBot="1" x14ac:dyDescent="0.3">
      <c r="B42" t="s">
        <v>222</v>
      </c>
      <c r="C42" s="315">
        <v>902</v>
      </c>
      <c r="D42" s="315">
        <v>891</v>
      </c>
      <c r="E42" s="315">
        <v>885</v>
      </c>
      <c r="F42" s="315">
        <v>1167</v>
      </c>
      <c r="G42" s="315">
        <v>1167</v>
      </c>
      <c r="H42" s="345">
        <f>$G$42</f>
        <v>1167</v>
      </c>
      <c r="I42" s="345">
        <f t="shared" ref="I42:L42" si="35">$G$42</f>
        <v>1167</v>
      </c>
      <c r="J42" s="345">
        <f t="shared" si="35"/>
        <v>1167</v>
      </c>
      <c r="K42" s="345">
        <f t="shared" si="35"/>
        <v>1167</v>
      </c>
      <c r="L42" s="345">
        <f t="shared" si="35"/>
        <v>1167</v>
      </c>
      <c r="O42" t="s">
        <v>227</v>
      </c>
    </row>
    <row r="43" spans="1:26" ht="16.5" thickTop="1" thickBot="1" x14ac:dyDescent="0.3">
      <c r="B43" t="s">
        <v>340</v>
      </c>
      <c r="C43" s="315">
        <v>786</v>
      </c>
      <c r="D43" s="315">
        <v>744</v>
      </c>
      <c r="E43" s="315">
        <v>616</v>
      </c>
      <c r="F43" s="315">
        <v>624</v>
      </c>
      <c r="G43" s="315">
        <v>624</v>
      </c>
      <c r="H43" s="345">
        <f>$G$43</f>
        <v>624</v>
      </c>
      <c r="I43" s="345">
        <f t="shared" ref="I43:L43" si="36">$G$43</f>
        <v>624</v>
      </c>
      <c r="J43" s="345">
        <f t="shared" si="36"/>
        <v>624</v>
      </c>
      <c r="K43" s="345">
        <f t="shared" si="36"/>
        <v>624</v>
      </c>
      <c r="L43" s="345">
        <f t="shared" si="36"/>
        <v>624</v>
      </c>
      <c r="O43" t="s">
        <v>227</v>
      </c>
    </row>
    <row r="44" spans="1:26" ht="15.75" thickTop="1" x14ac:dyDescent="0.25">
      <c r="B44" t="s">
        <v>341</v>
      </c>
      <c r="C44" s="322">
        <v>1865</v>
      </c>
      <c r="D44" s="322">
        <v>1561</v>
      </c>
      <c r="E44" s="322">
        <v>1212</v>
      </c>
      <c r="F44" s="322">
        <v>978</v>
      </c>
      <c r="G44" s="322">
        <v>978</v>
      </c>
      <c r="H44" s="353">
        <f>$G$44</f>
        <v>978</v>
      </c>
      <c r="I44" s="353">
        <f t="shared" ref="I44:L44" si="37">$G$44</f>
        <v>978</v>
      </c>
      <c r="J44" s="353">
        <f t="shared" si="37"/>
        <v>978</v>
      </c>
      <c r="K44" s="353">
        <f t="shared" si="37"/>
        <v>978</v>
      </c>
      <c r="L44" s="353">
        <f t="shared" si="37"/>
        <v>978</v>
      </c>
      <c r="O44" t="s">
        <v>228</v>
      </c>
      <c r="Q44" s="167"/>
      <c r="R44" s="167"/>
      <c r="S44" s="167"/>
      <c r="T44" s="167"/>
      <c r="U44" s="167"/>
    </row>
    <row r="45" spans="1:26" s="31" customFormat="1" x14ac:dyDescent="0.25">
      <c r="B45" s="173" t="s">
        <v>223</v>
      </c>
      <c r="C45" s="354">
        <f>SUM(C42:C44)</f>
        <v>3553</v>
      </c>
      <c r="D45" s="354">
        <f t="shared" ref="D45:L45" si="38">SUM(D42:D44)</f>
        <v>3196</v>
      </c>
      <c r="E45" s="354">
        <f t="shared" si="38"/>
        <v>2713</v>
      </c>
      <c r="F45" s="354">
        <f t="shared" si="38"/>
        <v>2769</v>
      </c>
      <c r="G45" s="354">
        <f t="shared" si="38"/>
        <v>2769</v>
      </c>
      <c r="H45" s="354">
        <f t="shared" si="38"/>
        <v>2769</v>
      </c>
      <c r="I45" s="354">
        <f t="shared" si="38"/>
        <v>2769</v>
      </c>
      <c r="J45" s="354">
        <f t="shared" si="38"/>
        <v>2769</v>
      </c>
      <c r="K45" s="354">
        <f t="shared" si="38"/>
        <v>2769</v>
      </c>
      <c r="L45" s="354">
        <f t="shared" si="38"/>
        <v>2769</v>
      </c>
    </row>
    <row r="46" spans="1:26" x14ac:dyDescent="0.25">
      <c r="B46" t="s">
        <v>225</v>
      </c>
      <c r="C46" s="355">
        <v>659</v>
      </c>
      <c r="D46" s="355">
        <v>734</v>
      </c>
      <c r="E46" s="356">
        <v>793</v>
      </c>
      <c r="F46" s="356">
        <v>882</v>
      </c>
      <c r="G46" s="356">
        <v>882</v>
      </c>
      <c r="H46" s="349">
        <f>G46+H49</f>
        <v>882</v>
      </c>
      <c r="I46" s="349">
        <f t="shared" ref="I46:L46" si="39">H46+I49</f>
        <v>882</v>
      </c>
      <c r="J46" s="349">
        <f t="shared" si="39"/>
        <v>882</v>
      </c>
      <c r="K46" s="349">
        <f t="shared" si="39"/>
        <v>882</v>
      </c>
      <c r="L46" s="349">
        <f t="shared" si="39"/>
        <v>882</v>
      </c>
    </row>
    <row r="47" spans="1:26" s="31" customFormat="1" ht="15.75" thickBot="1" x14ac:dyDescent="0.3">
      <c r="B47" s="175" t="s">
        <v>224</v>
      </c>
      <c r="C47" s="357">
        <f>C45-C46</f>
        <v>2894</v>
      </c>
      <c r="D47" s="357">
        <f t="shared" ref="D47:G47" si="40">D45-D46</f>
        <v>2462</v>
      </c>
      <c r="E47" s="357">
        <f t="shared" si="40"/>
        <v>1920</v>
      </c>
      <c r="F47" s="357">
        <f t="shared" si="40"/>
        <v>1887</v>
      </c>
      <c r="G47" s="357">
        <f t="shared" si="40"/>
        <v>1887</v>
      </c>
      <c r="H47" s="357">
        <f t="shared" ref="H47" si="41">H45-H46</f>
        <v>1887</v>
      </c>
      <c r="I47" s="357">
        <f t="shared" ref="I47" si="42">I45-I46</f>
        <v>1887</v>
      </c>
      <c r="J47" s="357">
        <f t="shared" ref="J47" si="43">J45-J46</f>
        <v>1887</v>
      </c>
      <c r="K47" s="357">
        <f t="shared" ref="K47" si="44">K45-K46</f>
        <v>1887</v>
      </c>
      <c r="L47" s="357">
        <f t="shared" ref="L47" si="45">L45-L46</f>
        <v>1887</v>
      </c>
    </row>
    <row r="48" spans="1:26" ht="15.75" thickTop="1" x14ac:dyDescent="0.25">
      <c r="D48" s="163"/>
      <c r="Q48" s="178"/>
      <c r="R48" s="178"/>
      <c r="S48" s="178"/>
      <c r="T48" s="178"/>
      <c r="U48" s="178"/>
      <c r="V48" s="179"/>
      <c r="W48" s="179"/>
      <c r="X48" s="179"/>
      <c r="Y48" s="179"/>
      <c r="Z48" s="179"/>
    </row>
    <row r="49" spans="1:26" ht="15.75" thickBot="1" x14ac:dyDescent="0.3">
      <c r="B49" s="182" t="s">
        <v>344</v>
      </c>
      <c r="C49" s="358">
        <f>C46-491</f>
        <v>168</v>
      </c>
      <c r="D49" s="358">
        <f>D46-C46</f>
        <v>75</v>
      </c>
      <c r="E49" s="358">
        <f>E46-D46</f>
        <v>59</v>
      </c>
      <c r="F49" s="358">
        <f>F46-E46</f>
        <v>89</v>
      </c>
      <c r="G49" s="358">
        <f>G46-F46</f>
        <v>0</v>
      </c>
      <c r="H49" s="359">
        <f>G49</f>
        <v>0</v>
      </c>
      <c r="I49" s="359">
        <f t="shared" ref="I49:L49" si="46">H49</f>
        <v>0</v>
      </c>
      <c r="J49" s="359">
        <f t="shared" si="46"/>
        <v>0</v>
      </c>
      <c r="K49" s="359">
        <f t="shared" si="46"/>
        <v>0</v>
      </c>
      <c r="L49" s="359">
        <f t="shared" si="46"/>
        <v>0</v>
      </c>
      <c r="O49" t="s">
        <v>226</v>
      </c>
      <c r="Q49" s="108"/>
      <c r="R49" s="108"/>
      <c r="S49" s="108"/>
      <c r="T49" s="108"/>
      <c r="U49" s="108"/>
      <c r="V49" s="108"/>
      <c r="W49" s="108"/>
      <c r="X49" s="108"/>
      <c r="Y49" s="108"/>
      <c r="Z49" s="108"/>
    </row>
    <row r="50" spans="1:26" ht="15.75" thickBot="1" x14ac:dyDescent="0.3">
      <c r="Q50" s="163"/>
      <c r="R50" s="163"/>
      <c r="S50" s="163"/>
      <c r="T50" s="163"/>
      <c r="U50" s="163"/>
      <c r="V50" s="163"/>
      <c r="W50" s="163"/>
      <c r="X50" s="163"/>
      <c r="Y50" s="163"/>
      <c r="Z50" s="163"/>
    </row>
    <row r="51" spans="1:26" ht="16.5" thickTop="1" thickBot="1" x14ac:dyDescent="0.3">
      <c r="B51" t="s">
        <v>480</v>
      </c>
      <c r="C51" s="47">
        <v>160</v>
      </c>
      <c r="D51" s="346">
        <v>0</v>
      </c>
      <c r="E51" s="346">
        <v>0</v>
      </c>
      <c r="F51" s="346">
        <v>0</v>
      </c>
      <c r="G51" s="346">
        <v>0</v>
      </c>
      <c r="H51" s="346">
        <v>0</v>
      </c>
      <c r="I51" s="346">
        <v>0</v>
      </c>
      <c r="J51" s="346">
        <v>0</v>
      </c>
      <c r="K51" s="346">
        <v>0</v>
      </c>
      <c r="L51" s="346">
        <v>0</v>
      </c>
    </row>
    <row r="52" spans="1:26" ht="16.5" thickTop="1" thickBot="1" x14ac:dyDescent="0.3">
      <c r="B52" s="75"/>
      <c r="C52" s="180"/>
      <c r="D52" s="180"/>
      <c r="E52" s="180"/>
      <c r="F52" s="180"/>
      <c r="G52" s="180"/>
      <c r="H52" s="180"/>
      <c r="I52" s="180"/>
      <c r="J52" s="180"/>
      <c r="K52" s="180"/>
      <c r="L52" s="180"/>
    </row>
    <row r="53" spans="1:26" ht="16.5" thickTop="1" thickBot="1" x14ac:dyDescent="0.3">
      <c r="A53" s="31" t="s">
        <v>120</v>
      </c>
      <c r="B53" s="12" t="s">
        <v>416</v>
      </c>
    </row>
    <row r="54" spans="1:26" ht="16.5" thickTop="1" thickBot="1" x14ac:dyDescent="0.3">
      <c r="B54" t="s">
        <v>417</v>
      </c>
      <c r="C54" s="56">
        <f>IS!C21</f>
        <v>787</v>
      </c>
      <c r="D54" s="56">
        <f>IS!D21</f>
        <v>749</v>
      </c>
      <c r="E54" s="56">
        <f>IS!E21</f>
        <v>693</v>
      </c>
      <c r="F54" s="56">
        <f>IS!F21</f>
        <v>937</v>
      </c>
      <c r="G54" s="56">
        <f>IS!G21</f>
        <v>907</v>
      </c>
      <c r="H54" s="56">
        <f>IS!H21</f>
        <v>1044.3141091256325</v>
      </c>
      <c r="I54" s="56">
        <f>IS!I21</f>
        <v>1119.8125664736096</v>
      </c>
      <c r="J54" s="56">
        <f>IS!J21</f>
        <v>1207.6183348032623</v>
      </c>
      <c r="K54" s="56">
        <f>IS!K21</f>
        <v>1331.0509406095546</v>
      </c>
      <c r="L54" s="56">
        <f>IS!L21</f>
        <v>1495.4446833208103</v>
      </c>
    </row>
    <row r="55" spans="1:26" ht="16.5" thickTop="1" thickBot="1" x14ac:dyDescent="0.3">
      <c r="B55" t="s">
        <v>418</v>
      </c>
      <c r="C55" s="165">
        <f>BS!C22</f>
        <v>291</v>
      </c>
      <c r="D55" s="165">
        <f>BS!D22</f>
        <v>193</v>
      </c>
      <c r="E55" s="165">
        <f>BS!E22</f>
        <v>135</v>
      </c>
      <c r="F55" s="165">
        <f>BS!F22</f>
        <v>214</v>
      </c>
      <c r="G55" s="165">
        <f>BS!G22</f>
        <v>195</v>
      </c>
      <c r="H55" s="339">
        <f>H54*H57</f>
        <v>264.34172385606274</v>
      </c>
      <c r="I55" s="339">
        <f t="shared" ref="I55:L55" si="47">I54*I57</f>
        <v>257.3306401314627</v>
      </c>
      <c r="J55" s="339">
        <f t="shared" si="47"/>
        <v>270.77480118849343</v>
      </c>
      <c r="K55" s="339">
        <f t="shared" si="47"/>
        <v>306.28222564610229</v>
      </c>
      <c r="L55" s="339">
        <f t="shared" si="47"/>
        <v>344.62370258574225</v>
      </c>
    </row>
    <row r="56" spans="1:26" ht="16.5" thickTop="1" thickBot="1" x14ac:dyDescent="0.3"/>
    <row r="57" spans="1:26" s="211" customFormat="1" ht="16.5" thickTop="1" thickBot="1" x14ac:dyDescent="0.3">
      <c r="B57" s="211" t="s">
        <v>419</v>
      </c>
      <c r="C57" s="338">
        <f>C55/C54</f>
        <v>0.36975857687420582</v>
      </c>
      <c r="D57" s="338">
        <f t="shared" ref="D57:G57" si="48">D55/D54</f>
        <v>0.2576769025367156</v>
      </c>
      <c r="E57" s="338">
        <f t="shared" si="48"/>
        <v>0.19480519480519481</v>
      </c>
      <c r="F57" s="338">
        <f t="shared" si="48"/>
        <v>0.22838847385272146</v>
      </c>
      <c r="G57" s="338">
        <f t="shared" si="48"/>
        <v>0.21499448732083792</v>
      </c>
      <c r="H57" s="338">
        <f>AVERAGE(C57:G57)</f>
        <v>0.25312472707793515</v>
      </c>
      <c r="I57" s="338">
        <f t="shared" ref="I57:L57" si="49">AVERAGE(D57:H57)</f>
        <v>0.22979795711868101</v>
      </c>
      <c r="J57" s="338">
        <f t="shared" si="49"/>
        <v>0.22422216803507408</v>
      </c>
      <c r="K57" s="338">
        <f t="shared" si="49"/>
        <v>0.2301055626810499</v>
      </c>
      <c r="L57" s="338">
        <f t="shared" si="49"/>
        <v>0.23044898044671563</v>
      </c>
    </row>
    <row r="58" spans="1:26" ht="16.5" thickTop="1" thickBot="1" x14ac:dyDescent="0.3">
      <c r="D58" s="32"/>
    </row>
    <row r="59" spans="1:26" ht="16.5" thickTop="1" thickBot="1" x14ac:dyDescent="0.3">
      <c r="A59" s="31" t="s">
        <v>59</v>
      </c>
      <c r="B59" s="12" t="s">
        <v>420</v>
      </c>
    </row>
    <row r="60" spans="1:26" ht="16.5" thickTop="1" thickBot="1" x14ac:dyDescent="0.3">
      <c r="B60" t="s">
        <v>417</v>
      </c>
      <c r="C60" s="56">
        <f>IS!C21</f>
        <v>787</v>
      </c>
      <c r="D60" s="56">
        <f>IS!D21</f>
        <v>749</v>
      </c>
      <c r="E60" s="56">
        <f>IS!E21</f>
        <v>693</v>
      </c>
      <c r="F60" s="56">
        <f>IS!F21</f>
        <v>937</v>
      </c>
      <c r="G60" s="56">
        <f>IS!G21</f>
        <v>907</v>
      </c>
      <c r="H60" s="56">
        <f>IS!H21</f>
        <v>1044.3141091256325</v>
      </c>
      <c r="I60" s="56">
        <f>IS!I21</f>
        <v>1119.8125664736096</v>
      </c>
      <c r="J60" s="56">
        <f>IS!J21</f>
        <v>1207.6183348032623</v>
      </c>
      <c r="K60" s="56">
        <f>IS!K21</f>
        <v>1331.0509406095546</v>
      </c>
      <c r="L60" s="56">
        <f>IS!L21</f>
        <v>1495.4446833208103</v>
      </c>
      <c r="P60" s="7"/>
      <c r="Q60" s="7"/>
      <c r="R60" s="7"/>
      <c r="S60" s="7"/>
      <c r="T60" s="7"/>
    </row>
    <row r="61" spans="1:26" ht="16.5" thickTop="1" thickBot="1" x14ac:dyDescent="0.3">
      <c r="B61" t="s">
        <v>421</v>
      </c>
      <c r="C61" s="165">
        <f>BS!C38</f>
        <v>426</v>
      </c>
      <c r="D61" s="165">
        <f>BS!D38</f>
        <v>395</v>
      </c>
      <c r="E61" s="165">
        <f>BS!E38</f>
        <v>383</v>
      </c>
      <c r="F61" s="165">
        <f>BS!F38</f>
        <v>361</v>
      </c>
      <c r="G61" s="165">
        <f>BS!G38</f>
        <v>343</v>
      </c>
      <c r="H61" s="339">
        <f>H60*H63</f>
        <v>498.09133212557231</v>
      </c>
      <c r="I61" s="339">
        <f t="shared" ref="I61:L61" si="50">I60*I63</f>
        <v>519.69085541172944</v>
      </c>
      <c r="J61" s="339">
        <f t="shared" si="50"/>
        <v>545.15618861684072</v>
      </c>
      <c r="K61" s="339">
        <f t="shared" si="50"/>
        <v>573.92670626014592</v>
      </c>
      <c r="L61" s="339">
        <f t="shared" si="50"/>
        <v>658.54198086916438</v>
      </c>
      <c r="P61" s="32"/>
      <c r="Q61" s="32"/>
      <c r="R61" s="32"/>
      <c r="S61" s="32"/>
      <c r="T61" s="32"/>
    </row>
    <row r="62" spans="1:26" ht="16.5" thickTop="1" thickBot="1" x14ac:dyDescent="0.3">
      <c r="P62" s="7"/>
      <c r="Q62" s="7"/>
      <c r="R62" s="7"/>
      <c r="S62" s="7"/>
      <c r="T62" s="7"/>
    </row>
    <row r="63" spans="1:26" s="211" customFormat="1" ht="16.5" thickTop="1" thickBot="1" x14ac:dyDescent="0.3">
      <c r="B63" s="211" t="s">
        <v>422</v>
      </c>
      <c r="C63" s="338">
        <f>C61/C60</f>
        <v>0.5412960609911055</v>
      </c>
      <c r="D63" s="338">
        <f t="shared" ref="D63:G63" si="51">D61/D60</f>
        <v>0.52736982643524699</v>
      </c>
      <c r="E63" s="338">
        <f t="shared" si="51"/>
        <v>0.55266955266955264</v>
      </c>
      <c r="F63" s="338">
        <f t="shared" si="51"/>
        <v>0.38527214514407682</v>
      </c>
      <c r="G63" s="338">
        <f t="shared" si="51"/>
        <v>0.37816979051819183</v>
      </c>
      <c r="H63" s="338">
        <f>AVERAGE(C63:G63)</f>
        <v>0.47695547515163483</v>
      </c>
      <c r="I63" s="338">
        <f t="shared" ref="I63:L63" si="52">AVERAGE(D63:H63)</f>
        <v>0.46408735798374068</v>
      </c>
      <c r="J63" s="338">
        <f t="shared" si="52"/>
        <v>0.45143086429343937</v>
      </c>
      <c r="K63" s="338">
        <f t="shared" si="52"/>
        <v>0.43118312661821667</v>
      </c>
      <c r="L63" s="338">
        <f t="shared" si="52"/>
        <v>0.44036532291304464</v>
      </c>
    </row>
    <row r="64" spans="1:26" ht="16.5" thickTop="1" thickBot="1" x14ac:dyDescent="0.3">
      <c r="C64" s="108"/>
      <c r="D64" s="32"/>
      <c r="E64" s="108"/>
      <c r="F64" s="108"/>
      <c r="G64" s="108"/>
      <c r="H64" s="108"/>
      <c r="I64" s="108"/>
      <c r="J64" s="108"/>
      <c r="K64" s="108"/>
      <c r="L64" s="108"/>
    </row>
    <row r="65" spans="1:20" ht="16.5" thickTop="1" thickBot="1" x14ac:dyDescent="0.3">
      <c r="A65" s="31" t="s">
        <v>121</v>
      </c>
      <c r="B65" s="12" t="s">
        <v>300</v>
      </c>
      <c r="P65" s="32"/>
      <c r="Q65" s="32"/>
      <c r="R65" s="32"/>
      <c r="S65" s="32"/>
      <c r="T65" s="32"/>
    </row>
    <row r="66" spans="1:20" ht="16.5" thickTop="1" thickBot="1" x14ac:dyDescent="0.3">
      <c r="B66" t="s">
        <v>417</v>
      </c>
      <c r="C66" s="56">
        <f>IS!C21</f>
        <v>787</v>
      </c>
      <c r="D66" s="56">
        <f>IS!D21</f>
        <v>749</v>
      </c>
      <c r="E66" s="56">
        <f>IS!E21</f>
        <v>693</v>
      </c>
      <c r="F66" s="56">
        <f>IS!F21</f>
        <v>937</v>
      </c>
      <c r="G66" s="56">
        <f>IS!G21</f>
        <v>907</v>
      </c>
      <c r="H66" s="56">
        <f>IS!H21</f>
        <v>1044.3141091256325</v>
      </c>
      <c r="I66" s="56">
        <f>IS!I21</f>
        <v>1119.8125664736096</v>
      </c>
      <c r="J66" s="56">
        <f>IS!J21</f>
        <v>1207.6183348032623</v>
      </c>
      <c r="K66" s="56">
        <f>IS!K21</f>
        <v>1331.0509406095546</v>
      </c>
      <c r="L66" s="56">
        <f>IS!L21</f>
        <v>1495.4446833208103</v>
      </c>
      <c r="M66" s="161"/>
      <c r="O66" s="31" t="s">
        <v>347</v>
      </c>
      <c r="P66" s="7"/>
    </row>
    <row r="67" spans="1:20" ht="16.5" thickTop="1" thickBot="1" x14ac:dyDescent="0.3">
      <c r="B67" t="s">
        <v>300</v>
      </c>
      <c r="C67" s="165">
        <f>BS!C33</f>
        <v>403</v>
      </c>
      <c r="D67" s="165">
        <f>BS!D33</f>
        <v>436</v>
      </c>
      <c r="E67" s="165">
        <f>BS!E33</f>
        <v>317</v>
      </c>
      <c r="F67" s="165">
        <f>BS!F33</f>
        <v>336</v>
      </c>
      <c r="G67" s="165">
        <f>BS!G33</f>
        <v>403</v>
      </c>
      <c r="H67" s="339">
        <f>H66*H69</f>
        <v>491.77279448968898</v>
      </c>
      <c r="I67" s="339">
        <f t="shared" ref="I67:L67" si="53">I66*I69</f>
        <v>518.10573662074944</v>
      </c>
      <c r="J67" s="339">
        <f t="shared" si="53"/>
        <v>529.88397523219987</v>
      </c>
      <c r="K67" s="339">
        <f t="shared" si="53"/>
        <v>579.08020455469352</v>
      </c>
      <c r="L67" s="339">
        <f t="shared" si="53"/>
        <v>673.46992981655387</v>
      </c>
      <c r="Q67" s="7"/>
    </row>
    <row r="68" spans="1:20" ht="16.5" thickTop="1" thickBot="1" x14ac:dyDescent="0.3">
      <c r="B68" t="s">
        <v>268</v>
      </c>
    </row>
    <row r="69" spans="1:20" s="211" customFormat="1" ht="16.5" thickTop="1" thickBot="1" x14ac:dyDescent="0.3">
      <c r="B69" s="211" t="s">
        <v>423</v>
      </c>
      <c r="C69" s="338">
        <f>C67/C66</f>
        <v>0.51207115628970779</v>
      </c>
      <c r="D69" s="338">
        <f t="shared" ref="D69:G69" si="54">D67/D66</f>
        <v>0.58210947930574097</v>
      </c>
      <c r="E69" s="338">
        <f t="shared" si="54"/>
        <v>0.45743145743145741</v>
      </c>
      <c r="F69" s="338">
        <f t="shared" si="54"/>
        <v>0.35859124866595515</v>
      </c>
      <c r="G69" s="338">
        <f t="shared" si="54"/>
        <v>0.44432194046306506</v>
      </c>
      <c r="H69" s="338">
        <f>AVERAGE(C69:G69)</f>
        <v>0.4709050564311853</v>
      </c>
      <c r="I69" s="338">
        <f t="shared" ref="I69:L69" si="55">AVERAGE(D69:H69)</f>
        <v>0.46267183645948079</v>
      </c>
      <c r="J69" s="338">
        <f t="shared" si="55"/>
        <v>0.43878430789022865</v>
      </c>
      <c r="K69" s="338">
        <f t="shared" si="55"/>
        <v>0.435054877981983</v>
      </c>
      <c r="L69" s="338">
        <f t="shared" si="55"/>
        <v>0.45034760384518863</v>
      </c>
    </row>
    <row r="70" spans="1:20" ht="16.5" thickTop="1" thickBot="1" x14ac:dyDescent="0.3">
      <c r="B70" t="s">
        <v>268</v>
      </c>
      <c r="C70" s="108"/>
      <c r="D70" s="108"/>
      <c r="E70" s="108"/>
      <c r="F70" s="108"/>
      <c r="G70" s="108"/>
      <c r="H70" s="108"/>
      <c r="I70" s="108"/>
      <c r="J70" s="108"/>
      <c r="K70" s="108"/>
      <c r="L70" s="108"/>
    </row>
    <row r="71" spans="1:20" ht="16.5" thickTop="1" thickBot="1" x14ac:dyDescent="0.3">
      <c r="A71" s="31" t="s">
        <v>230</v>
      </c>
      <c r="B71" s="12" t="s">
        <v>296</v>
      </c>
    </row>
    <row r="72" spans="1:20" ht="16.5" thickTop="1" thickBot="1" x14ac:dyDescent="0.3">
      <c r="B72" t="s">
        <v>296</v>
      </c>
      <c r="C72" s="165">
        <f>BS!C23</f>
        <v>857</v>
      </c>
      <c r="D72" s="165">
        <f>BS!D23</f>
        <v>974</v>
      </c>
      <c r="E72" s="165">
        <f>BS!E23</f>
        <v>904</v>
      </c>
      <c r="F72" s="165">
        <f>BS!F23</f>
        <v>1021</v>
      </c>
      <c r="G72" s="165">
        <f>BS!G23</f>
        <v>1084</v>
      </c>
      <c r="H72" s="316">
        <f>H73*H23</f>
        <v>1145.2076345349794</v>
      </c>
      <c r="I72" s="316">
        <f>I73*I23</f>
        <v>1242.2082883962967</v>
      </c>
      <c r="J72" s="316">
        <f>J73*J23</f>
        <v>1333.8817812464445</v>
      </c>
      <c r="K72" s="316">
        <f>K73*K23</f>
        <v>1468.859418188734</v>
      </c>
      <c r="L72" s="316">
        <f>L73*L23</f>
        <v>1617.4640948885972</v>
      </c>
    </row>
    <row r="73" spans="1:20" s="211" customFormat="1" ht="16.5" thickTop="1" thickBot="1" x14ac:dyDescent="0.3">
      <c r="B73" s="546" t="s">
        <v>206</v>
      </c>
      <c r="C73" s="338">
        <f>C72/C23</f>
        <v>5.2030842086090705E-2</v>
      </c>
      <c r="D73" s="338">
        <f>D72/D23</f>
        <v>5.5909534469892656E-2</v>
      </c>
      <c r="E73" s="338">
        <f>E72/E23</f>
        <v>5.0314465408805034E-2</v>
      </c>
      <c r="F73" s="338">
        <f>F72/F23</f>
        <v>5.247468777303798E-2</v>
      </c>
      <c r="G73" s="338">
        <f>G72/G23</f>
        <v>5.3927665290284067E-2</v>
      </c>
      <c r="H73" s="338">
        <f>AVERAGE(C73:G73)</f>
        <v>5.2931439005622097E-2</v>
      </c>
      <c r="I73" s="338">
        <f t="shared" ref="I73:L73" si="56">AVERAGE(D73:H73)</f>
        <v>5.3111558389528371E-2</v>
      </c>
      <c r="J73" s="338">
        <f t="shared" si="56"/>
        <v>5.2551963173455507E-2</v>
      </c>
      <c r="K73" s="338">
        <f t="shared" si="56"/>
        <v>5.2999462726385602E-2</v>
      </c>
      <c r="L73" s="338">
        <f t="shared" si="56"/>
        <v>5.3104417717055132E-2</v>
      </c>
    </row>
    <row r="74" spans="1:20" ht="16.5" thickTop="1" thickBot="1" x14ac:dyDescent="0.3"/>
    <row r="75" spans="1:20" ht="16.5" thickTop="1" thickBot="1" x14ac:dyDescent="0.3">
      <c r="A75" s="31" t="s">
        <v>231</v>
      </c>
      <c r="B75" s="12" t="s">
        <v>303</v>
      </c>
      <c r="D75" s="32"/>
      <c r="E75" s="32"/>
      <c r="F75" s="32"/>
      <c r="G75" s="32"/>
      <c r="H75" s="32"/>
      <c r="I75" s="32"/>
      <c r="J75" s="32"/>
      <c r="K75" s="32"/>
      <c r="L75" s="32"/>
    </row>
    <row r="76" spans="1:20" ht="16.5" thickTop="1" thickBot="1" x14ac:dyDescent="0.3">
      <c r="B76" t="s">
        <v>303</v>
      </c>
      <c r="C76" s="165">
        <f>BS!C39</f>
        <v>2655</v>
      </c>
      <c r="D76" s="165">
        <f>BS!D39</f>
        <v>2429</v>
      </c>
      <c r="E76" s="165">
        <f>BS!E39</f>
        <v>1797</v>
      </c>
      <c r="F76" s="165">
        <f>BS!F39</f>
        <v>2115</v>
      </c>
      <c r="G76" s="165">
        <f>BS!G39</f>
        <v>2111</v>
      </c>
      <c r="H76" s="316">
        <f>H77*H23</f>
        <v>2658.4166217396896</v>
      </c>
      <c r="I76" s="316">
        <f>I77*I23</f>
        <v>2694.555794841704</v>
      </c>
      <c r="J76" s="316">
        <f>J77*J23</f>
        <v>2801.2615633955575</v>
      </c>
      <c r="K76" s="316">
        <f>K77*K23</f>
        <v>3116.031153978257</v>
      </c>
      <c r="L76" s="316">
        <f>L77*L23</f>
        <v>3447.2301553938769</v>
      </c>
    </row>
    <row r="77" spans="1:20" s="211" customFormat="1" ht="16.5" thickTop="1" thickBot="1" x14ac:dyDescent="0.3">
      <c r="B77" s="546" t="s">
        <v>206</v>
      </c>
      <c r="C77" s="338">
        <f>C76/C23</f>
        <v>0.16119239876145955</v>
      </c>
      <c r="D77" s="338">
        <f>D76/D23</f>
        <v>0.13942942425807933</v>
      </c>
      <c r="E77" s="338">
        <f>E76/E23</f>
        <v>0.10001669727834363</v>
      </c>
      <c r="F77" s="338">
        <f>F76/F23</f>
        <v>0.10870123862877114</v>
      </c>
      <c r="G77" s="338">
        <f>G76/G23</f>
        <v>0.1050196507636436</v>
      </c>
      <c r="H77" s="338">
        <f>AVERAGE(C77:G77)</f>
        <v>0.12287188193805945</v>
      </c>
      <c r="I77" s="338">
        <f t="shared" ref="I77" si="57">AVERAGE(D77:H77)</f>
        <v>0.11520777857337942</v>
      </c>
      <c r="J77" s="338">
        <f t="shared" ref="J77" si="58">AVERAGE(E77:I77)</f>
        <v>0.11036344943643943</v>
      </c>
      <c r="K77" s="338">
        <f t="shared" ref="K77" si="59">AVERAGE(F77:J77)</f>
        <v>0.11243279986805861</v>
      </c>
      <c r="L77" s="338">
        <f t="shared" ref="L77" si="60">AVERAGE(G77:K77)</f>
        <v>0.11317911211591611</v>
      </c>
    </row>
    <row r="78" spans="1:20" ht="15.75" thickTop="1" x14ac:dyDescent="0.25">
      <c r="Q78" s="178"/>
    </row>
    <row r="79" spans="1:20" x14ac:dyDescent="0.25">
      <c r="B79" s="23" t="s">
        <v>22</v>
      </c>
      <c r="Q79" s="178"/>
    </row>
    <row r="80" spans="1:20" x14ac:dyDescent="0.25">
      <c r="B80" t="s">
        <v>23</v>
      </c>
      <c r="Q80" s="178"/>
    </row>
    <row r="81" spans="17:17" x14ac:dyDescent="0.25">
      <c r="Q81" s="178"/>
    </row>
  </sheetData>
  <autoFilter ref="B9:L77" xr:uid="{902BA662-4122-4FF1-BEA8-DE8533E90994}">
    <filterColumn colId="1" showButton="0"/>
    <filterColumn colId="2" showButton="0"/>
    <filterColumn colId="3" showButton="0"/>
    <filterColumn colId="4" showButton="0"/>
    <filterColumn colId="6" showButton="0"/>
    <filterColumn colId="7" showButton="0"/>
    <filterColumn colId="8" showButton="0"/>
    <filterColumn colId="9" showButton="0"/>
  </autoFilter>
  <mergeCells count="2">
    <mergeCell ref="C9:G9"/>
    <mergeCell ref="H9:L9"/>
  </mergeCells>
  <pageMargins left="0.70866141732283472" right="0.70866141732283472" top="0.74803149606299213" bottom="0.74803149606299213" header="0.31496062992125984" footer="0.31496062992125984"/>
  <pageSetup scale="80" orientation="landscape" r:id="rId1"/>
  <rowBreaks count="2" manualBreakCount="2">
    <brk id="25" max="12" man="1"/>
    <brk id="52" max="12" man="1"/>
  </rowBreaks>
  <ignoredErrors>
    <ignoredError sqref="H14:L14 H18:L18 H16:L16 H20:L20" formula="1"/>
  </ignoredError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A617-3AD3-4697-BBA9-E5712D77B933}">
  <dimension ref="A1:Q101"/>
  <sheetViews>
    <sheetView showGridLines="0" view="pageBreakPreview" zoomScale="80" zoomScaleNormal="80" zoomScaleSheetLayoutView="80" workbookViewId="0">
      <pane xSplit="2" ySplit="10" topLeftCell="C11" activePane="bottomRight" state="frozen"/>
      <selection pane="topRight"/>
      <selection pane="bottomLeft"/>
      <selection pane="bottomRight" activeCell="P25" sqref="P25"/>
    </sheetView>
  </sheetViews>
  <sheetFormatPr defaultRowHeight="15" x14ac:dyDescent="0.25"/>
  <cols>
    <col min="1" max="1" width="3.85546875" bestFit="1" customWidth="1"/>
    <col min="2" max="2" width="51.140625" bestFit="1" customWidth="1"/>
    <col min="3" max="7" width="11.7109375" bestFit="1" customWidth="1"/>
    <col min="8" max="12" width="9.140625" bestFit="1" customWidth="1"/>
    <col min="13" max="13" width="3.28515625" bestFit="1" customWidth="1"/>
  </cols>
  <sheetData>
    <row r="1" spans="1:17" x14ac:dyDescent="0.25">
      <c r="P1" s="8"/>
      <c r="Q1" s="156"/>
    </row>
    <row r="7" spans="1:17" x14ac:dyDescent="0.25">
      <c r="A7" s="31"/>
    </row>
    <row r="8" spans="1:17" ht="15.75" thickBot="1" x14ac:dyDescent="0.3">
      <c r="A8" s="31"/>
    </row>
    <row r="9" spans="1:17" ht="18.75" thickTop="1" thickBot="1" x14ac:dyDescent="0.3">
      <c r="B9" s="12" t="s">
        <v>20</v>
      </c>
      <c r="C9" s="666" t="s">
        <v>21</v>
      </c>
      <c r="D9" s="666"/>
      <c r="E9" s="666"/>
      <c r="F9" s="666"/>
      <c r="G9" s="666"/>
      <c r="H9" s="666" t="s">
        <v>67</v>
      </c>
      <c r="I9" s="666"/>
      <c r="J9" s="666"/>
      <c r="K9" s="666"/>
      <c r="L9" s="666"/>
    </row>
    <row r="10" spans="1:17" ht="16.5" thickTop="1" thickBot="1" x14ac:dyDescent="0.3">
      <c r="B10" s="13"/>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row>
    <row r="11" spans="1:17" ht="15.75" thickTop="1" x14ac:dyDescent="0.25"/>
    <row r="12" spans="1:17" ht="15.75" thickBot="1" x14ac:dyDescent="0.3">
      <c r="A12" s="81" t="s">
        <v>57</v>
      </c>
      <c r="B12" s="31" t="s">
        <v>622</v>
      </c>
    </row>
    <row r="13" spans="1:17" s="31" customFormat="1" ht="16.5" thickTop="1" thickBot="1" x14ac:dyDescent="0.3">
      <c r="B13" t="s">
        <v>373</v>
      </c>
      <c r="C13" s="314">
        <f>BS!C45</f>
        <v>1466</v>
      </c>
      <c r="D13" s="314">
        <f>BS!D45</f>
        <v>1466</v>
      </c>
      <c r="E13" s="314">
        <f>BS!E45</f>
        <v>1466</v>
      </c>
      <c r="F13" s="314">
        <f>BS!F45</f>
        <v>1466</v>
      </c>
      <c r="G13" s="314">
        <f>BS!G45</f>
        <v>1466</v>
      </c>
      <c r="H13" s="342">
        <f>$G$13</f>
        <v>1466</v>
      </c>
      <c r="I13" s="342">
        <f t="shared" ref="I13:L13" si="1">$G$13</f>
        <v>1466</v>
      </c>
      <c r="J13" s="342">
        <f t="shared" si="1"/>
        <v>1466</v>
      </c>
      <c r="K13" s="342">
        <f t="shared" si="1"/>
        <v>1466</v>
      </c>
      <c r="L13" s="342">
        <f t="shared" si="1"/>
        <v>1466</v>
      </c>
      <c r="M13"/>
      <c r="N13" t="s">
        <v>381</v>
      </c>
    </row>
    <row r="14" spans="1:17" s="31" customFormat="1" ht="16.5" thickTop="1" thickBot="1" x14ac:dyDescent="0.3">
      <c r="B14" t="s">
        <v>374</v>
      </c>
      <c r="C14" s="314">
        <f>BS!C46</f>
        <v>2969</v>
      </c>
      <c r="D14" s="314">
        <f>BS!D46</f>
        <v>3269</v>
      </c>
      <c r="E14" s="314">
        <f>BS!E46</f>
        <v>3546</v>
      </c>
      <c r="F14" s="314">
        <f>BS!F46</f>
        <v>3808</v>
      </c>
      <c r="G14" s="314">
        <f>BS!G46</f>
        <v>4181</v>
      </c>
      <c r="H14" s="342">
        <f>G14+H45</f>
        <v>4750.4798659720227</v>
      </c>
      <c r="I14" s="342">
        <f>H14+I45</f>
        <v>5241.1253844892162</v>
      </c>
      <c r="J14" s="342">
        <f>I14+J45</f>
        <v>5743.5900953379241</v>
      </c>
      <c r="K14" s="342">
        <f>J14+K45</f>
        <v>6263.5640320738521</v>
      </c>
      <c r="L14" s="342">
        <f>K14+L45</f>
        <v>6813.8993773935536</v>
      </c>
      <c r="N14" t="s">
        <v>382</v>
      </c>
    </row>
    <row r="15" spans="1:17" s="31" customFormat="1" ht="16.5" thickTop="1" thickBot="1" x14ac:dyDescent="0.3">
      <c r="B15" t="s">
        <v>306</v>
      </c>
      <c r="C15" s="314">
        <f>BS!C47</f>
        <v>23699</v>
      </c>
      <c r="D15" s="314">
        <f>BS!D47</f>
        <v>24350</v>
      </c>
      <c r="E15" s="314">
        <f>BS!E47</f>
        <v>24573</v>
      </c>
      <c r="F15" s="314">
        <f>BS!F47</f>
        <v>25289</v>
      </c>
      <c r="G15" s="314">
        <f>BS!G47</f>
        <v>26145</v>
      </c>
      <c r="H15" s="342">
        <f>G15+H26</f>
        <v>27139.798699853534</v>
      </c>
      <c r="I15" s="342">
        <f>H15+I26</f>
        <v>28128.660058037167</v>
      </c>
      <c r="J15" s="342">
        <f>I15+J26</f>
        <v>29198.428190327431</v>
      </c>
      <c r="K15" s="342">
        <f>J15+K26</f>
        <v>30498.184797941722</v>
      </c>
      <c r="L15" s="342">
        <f>K15+L26</f>
        <v>31985.318488767851</v>
      </c>
      <c r="N15" t="s">
        <v>383</v>
      </c>
    </row>
    <row r="16" spans="1:17" s="31" customFormat="1" ht="16.5" thickTop="1" thickBot="1" x14ac:dyDescent="0.3">
      <c r="B16" t="s">
        <v>375</v>
      </c>
      <c r="C16" s="314">
        <f>BS!C48</f>
        <v>-4345</v>
      </c>
      <c r="D16" s="314">
        <f>BS!D48</f>
        <v>-4386</v>
      </c>
      <c r="E16" s="314">
        <f>BS!E48</f>
        <v>-4055</v>
      </c>
      <c r="F16" s="314">
        <f>BS!F48</f>
        <v>-3937</v>
      </c>
      <c r="G16" s="314">
        <f>BS!G48</f>
        <v>-4222</v>
      </c>
      <c r="H16" s="342">
        <f>$G$16</f>
        <v>-4222</v>
      </c>
      <c r="I16" s="342">
        <f t="shared" ref="I16:L16" si="2">$G$16</f>
        <v>-4222</v>
      </c>
      <c r="J16" s="342">
        <f t="shared" si="2"/>
        <v>-4222</v>
      </c>
      <c r="K16" s="342">
        <f t="shared" si="2"/>
        <v>-4222</v>
      </c>
      <c r="L16" s="342">
        <f t="shared" si="2"/>
        <v>-4222</v>
      </c>
      <c r="N16" t="s">
        <v>381</v>
      </c>
    </row>
    <row r="17" spans="1:14" s="31" customFormat="1" ht="16.5" thickTop="1" thickBot="1" x14ac:dyDescent="0.3">
      <c r="B17" t="s">
        <v>376</v>
      </c>
      <c r="C17" s="314">
        <f>BS!C49</f>
        <v>-1</v>
      </c>
      <c r="D17" s="314">
        <f>BS!D49</f>
        <v>-1</v>
      </c>
      <c r="E17" s="314">
        <f>BS!E49</f>
        <v>-1</v>
      </c>
      <c r="F17" s="314">
        <f>BS!F49</f>
        <v>0</v>
      </c>
      <c r="G17" s="314">
        <f>BS!G49</f>
        <v>0</v>
      </c>
      <c r="H17" s="361">
        <v>0</v>
      </c>
      <c r="I17" s="361">
        <v>0</v>
      </c>
      <c r="J17" s="361">
        <v>0</v>
      </c>
      <c r="K17" s="361">
        <v>0</v>
      </c>
      <c r="L17" s="361">
        <v>0</v>
      </c>
      <c r="N17"/>
    </row>
    <row r="18" spans="1:14" s="31" customFormat="1" ht="15.75" thickTop="1" x14ac:dyDescent="0.25">
      <c r="B18" s="360" t="s">
        <v>377</v>
      </c>
      <c r="C18" s="363">
        <f>BS!C50</f>
        <v>-23045</v>
      </c>
      <c r="D18" s="363">
        <f>BS!D50</f>
        <v>-24089</v>
      </c>
      <c r="E18" s="363">
        <f>BS!E50</f>
        <v>-25128</v>
      </c>
      <c r="F18" s="363">
        <f>BS!F50</f>
        <v>-26017</v>
      </c>
      <c r="G18" s="363">
        <f>BS!G50</f>
        <v>-27358</v>
      </c>
      <c r="H18" s="187">
        <f>-H28</f>
        <v>-28890.692909416401</v>
      </c>
      <c r="I18" s="187">
        <f t="shared" ref="I18:L18" si="3">-I28</f>
        <v>-30613.040780156174</v>
      </c>
      <c r="J18" s="187">
        <f t="shared" si="3"/>
        <v>-32514.559486059796</v>
      </c>
      <c r="K18" s="187">
        <f t="shared" si="3"/>
        <v>-34582.493303739298</v>
      </c>
      <c r="L18" s="187">
        <f t="shared" si="3"/>
        <v>-37072.178421611614</v>
      </c>
      <c r="N18"/>
    </row>
    <row r="19" spans="1:14" ht="15.75" thickBot="1" x14ac:dyDescent="0.3">
      <c r="B19" s="261" t="s">
        <v>378</v>
      </c>
      <c r="C19" s="364">
        <f>SUM(C13:C18)</f>
        <v>743</v>
      </c>
      <c r="D19" s="364">
        <f t="shared" ref="D19:G19" si="4">SUM(D13:D18)</f>
        <v>609</v>
      </c>
      <c r="E19" s="364">
        <f t="shared" si="4"/>
        <v>401</v>
      </c>
      <c r="F19" s="364">
        <f t="shared" si="4"/>
        <v>609</v>
      </c>
      <c r="G19" s="364">
        <f t="shared" si="4"/>
        <v>212</v>
      </c>
      <c r="H19" s="364">
        <f t="shared" ref="H19" si="5">SUM(H13:H18)</f>
        <v>243.58565640915913</v>
      </c>
      <c r="I19" s="364">
        <f t="shared" ref="I19" si="6">SUM(I13:I18)</f>
        <v>0.74466237020533299</v>
      </c>
      <c r="J19" s="364">
        <f t="shared" ref="J19" si="7">SUM(J13:J18)</f>
        <v>-328.54120039444024</v>
      </c>
      <c r="K19" s="364">
        <f t="shared" ref="K19" si="8">SUM(K13:K18)</f>
        <v>-576.74447372372379</v>
      </c>
      <c r="L19" s="364">
        <f t="shared" ref="L19" si="9">SUM(L13:L18)</f>
        <v>-1028.9605554502123</v>
      </c>
    </row>
    <row r="20" spans="1:14" s="31" customFormat="1" ht="15.75" thickTop="1" x14ac:dyDescent="0.25">
      <c r="B20" t="s">
        <v>379</v>
      </c>
      <c r="C20" s="363">
        <f>BS!C52</f>
        <v>358</v>
      </c>
      <c r="D20" s="363">
        <f>BS!D52</f>
        <v>362</v>
      </c>
      <c r="E20" s="363">
        <f>BS!E52</f>
        <v>405</v>
      </c>
      <c r="F20" s="363">
        <f>BS!F52</f>
        <v>348</v>
      </c>
      <c r="G20" s="363">
        <f>BS!G52</f>
        <v>332</v>
      </c>
      <c r="H20" s="187">
        <f>$G$20</f>
        <v>332</v>
      </c>
      <c r="I20" s="187">
        <f t="shared" ref="I20:L20" si="10">$G$20</f>
        <v>332</v>
      </c>
      <c r="J20" s="187">
        <f t="shared" si="10"/>
        <v>332</v>
      </c>
      <c r="K20" s="187">
        <f t="shared" si="10"/>
        <v>332</v>
      </c>
      <c r="L20" s="187">
        <f t="shared" si="10"/>
        <v>332</v>
      </c>
      <c r="N20"/>
    </row>
    <row r="21" spans="1:14" s="31" customFormat="1" ht="15.75" thickBot="1" x14ac:dyDescent="0.3">
      <c r="B21" s="262" t="s">
        <v>35</v>
      </c>
      <c r="C21" s="320">
        <f>C20+C19</f>
        <v>1101</v>
      </c>
      <c r="D21" s="320">
        <f t="shared" ref="D21:G21" si="11">D20+D19</f>
        <v>971</v>
      </c>
      <c r="E21" s="320">
        <f t="shared" si="11"/>
        <v>806</v>
      </c>
      <c r="F21" s="320">
        <f t="shared" si="11"/>
        <v>957</v>
      </c>
      <c r="G21" s="320">
        <f t="shared" si="11"/>
        <v>544</v>
      </c>
      <c r="H21" s="320">
        <f t="shared" ref="H21" si="12">H20+H19</f>
        <v>575.58565640915913</v>
      </c>
      <c r="I21" s="320">
        <f t="shared" ref="I21" si="13">I20+I19</f>
        <v>332.74466237020533</v>
      </c>
      <c r="J21" s="320">
        <f t="shared" ref="J21" si="14">J20+J19</f>
        <v>3.4587996055597614</v>
      </c>
      <c r="K21" s="320">
        <f t="shared" ref="K21" si="15">K20+K19</f>
        <v>-244.74447372372379</v>
      </c>
      <c r="L21" s="320">
        <f t="shared" ref="L21" si="16">L20+L19</f>
        <v>-696.96055545021227</v>
      </c>
      <c r="N21"/>
    </row>
    <row r="22" spans="1:14" ht="15.75" thickTop="1" x14ac:dyDescent="0.25"/>
    <row r="23" spans="1:14" ht="15.75" thickBot="1" x14ac:dyDescent="0.3">
      <c r="A23" s="81" t="s">
        <v>118</v>
      </c>
      <c r="B23" s="31" t="s">
        <v>306</v>
      </c>
      <c r="C23" s="31"/>
      <c r="D23" s="31"/>
      <c r="E23" s="31"/>
      <c r="F23" s="31"/>
      <c r="G23" s="31"/>
      <c r="H23" s="31"/>
      <c r="I23" s="31"/>
      <c r="J23" s="31"/>
      <c r="K23" s="31"/>
      <c r="L23" s="31"/>
    </row>
    <row r="24" spans="1:14" ht="16.5" thickTop="1" thickBot="1" x14ac:dyDescent="0.3">
      <c r="B24" t="s">
        <v>281</v>
      </c>
      <c r="C24" s="56">
        <f>IS!C22</f>
        <v>2860</v>
      </c>
      <c r="D24" s="56">
        <f>IS!D22</f>
        <v>2338</v>
      </c>
      <c r="E24" s="56">
        <f>IS!E22</f>
        <v>1967</v>
      </c>
      <c r="F24" s="56">
        <f>IS!F22</f>
        <v>2455</v>
      </c>
      <c r="G24" s="56">
        <f>IS!G22</f>
        <v>3049</v>
      </c>
      <c r="H24" s="56">
        <f>IS!H22</f>
        <v>3220.0698185603792</v>
      </c>
      <c r="I24" s="56">
        <f>IS!I22</f>
        <v>3452.8640532927211</v>
      </c>
      <c r="J24" s="56">
        <f>IS!J22</f>
        <v>3723.6070242275368</v>
      </c>
      <c r="K24" s="56">
        <f>IS!K22</f>
        <v>4104.2028670969621</v>
      </c>
      <c r="L24" s="56">
        <f>IS!L22</f>
        <v>4611.0995226519735</v>
      </c>
    </row>
    <row r="25" spans="1:14" ht="15.75" thickTop="1" x14ac:dyDescent="0.25">
      <c r="B25" t="s">
        <v>380</v>
      </c>
      <c r="C25" s="187">
        <f>-C38</f>
        <v>-1654</v>
      </c>
      <c r="D25" s="187">
        <f t="shared" ref="D25:L25" si="17">-D38</f>
        <v>-1679</v>
      </c>
      <c r="E25" s="187">
        <f t="shared" si="17"/>
        <v>-1691</v>
      </c>
      <c r="F25" s="187">
        <f t="shared" si="17"/>
        <v>-1749</v>
      </c>
      <c r="G25" s="187">
        <f t="shared" si="17"/>
        <v>-1789</v>
      </c>
      <c r="H25" s="187">
        <f t="shared" si="17"/>
        <v>-2225.271118706843</v>
      </c>
      <c r="I25" s="187">
        <f t="shared" si="17"/>
        <v>-2464.0026951090881</v>
      </c>
      <c r="J25" s="187">
        <f t="shared" si="17"/>
        <v>-2653.8388919372728</v>
      </c>
      <c r="K25" s="187">
        <f t="shared" si="17"/>
        <v>-2804.4462594826728</v>
      </c>
      <c r="L25" s="187">
        <f t="shared" si="17"/>
        <v>-3123.9658318258453</v>
      </c>
    </row>
    <row r="26" spans="1:14" ht="15.75" thickBot="1" x14ac:dyDescent="0.3">
      <c r="B26" s="175" t="s">
        <v>384</v>
      </c>
      <c r="C26" s="365">
        <f>SUM(C24:C25)</f>
        <v>1206</v>
      </c>
      <c r="D26" s="365">
        <f t="shared" ref="D26:L26" si="18">SUM(D24:D25)</f>
        <v>659</v>
      </c>
      <c r="E26" s="365">
        <f t="shared" si="18"/>
        <v>276</v>
      </c>
      <c r="F26" s="365">
        <f t="shared" si="18"/>
        <v>706</v>
      </c>
      <c r="G26" s="365">
        <f t="shared" si="18"/>
        <v>1260</v>
      </c>
      <c r="H26" s="365">
        <f t="shared" si="18"/>
        <v>994.79869985353616</v>
      </c>
      <c r="I26" s="365">
        <f t="shared" si="18"/>
        <v>988.861358183633</v>
      </c>
      <c r="J26" s="365">
        <f t="shared" si="18"/>
        <v>1069.768132290264</v>
      </c>
      <c r="K26" s="365">
        <f t="shared" si="18"/>
        <v>1299.7566076142894</v>
      </c>
      <c r="L26" s="365">
        <f t="shared" si="18"/>
        <v>1487.1336908261283</v>
      </c>
    </row>
    <row r="27" spans="1:14" ht="16.5" thickTop="1" thickBot="1" x14ac:dyDescent="0.3">
      <c r="D27" s="163"/>
      <c r="E27" s="163"/>
      <c r="F27" s="163"/>
      <c r="G27" s="163"/>
    </row>
    <row r="28" spans="1:14" ht="16.5" thickTop="1" thickBot="1" x14ac:dyDescent="0.3">
      <c r="A28" s="81" t="s">
        <v>119</v>
      </c>
      <c r="B28" t="s">
        <v>356</v>
      </c>
      <c r="C28" s="314">
        <f>-C18</f>
        <v>23045</v>
      </c>
      <c r="D28" s="314">
        <f>-D18</f>
        <v>24089</v>
      </c>
      <c r="E28" s="314">
        <f>-E18</f>
        <v>25128</v>
      </c>
      <c r="F28" s="314">
        <f>-F18</f>
        <v>26017</v>
      </c>
      <c r="G28" s="314">
        <f>-G18</f>
        <v>27358</v>
      </c>
      <c r="H28" s="316">
        <f>G28+H35</f>
        <v>28890.692909416401</v>
      </c>
      <c r="I28" s="316">
        <f>H28+I35</f>
        <v>30613.040780156174</v>
      </c>
      <c r="J28" s="316">
        <f>I28+J35</f>
        <v>32514.559486059796</v>
      </c>
      <c r="K28" s="316">
        <f>J28+K35</f>
        <v>34582.493303739298</v>
      </c>
      <c r="L28" s="316">
        <f>K28+L35</f>
        <v>37072.178421611614</v>
      </c>
    </row>
    <row r="29" spans="1:14" ht="15.75" thickTop="1" x14ac:dyDescent="0.25">
      <c r="A29" s="31"/>
      <c r="C29" s="162"/>
      <c r="D29" s="265"/>
      <c r="E29" s="265"/>
      <c r="F29" s="265"/>
      <c r="G29" s="265"/>
      <c r="H29" s="265"/>
      <c r="I29" s="265"/>
      <c r="J29" s="265"/>
      <c r="K29" s="265"/>
      <c r="L29" s="265"/>
    </row>
    <row r="30" spans="1:14" ht="15.75" thickBot="1" x14ac:dyDescent="0.3">
      <c r="A30" s="29"/>
      <c r="B30" s="258" t="s">
        <v>359</v>
      </c>
      <c r="C30" s="162"/>
      <c r="D30" s="162"/>
      <c r="E30" s="162"/>
      <c r="F30" s="162"/>
      <c r="G30" s="162"/>
      <c r="H30" s="162"/>
      <c r="I30" s="162"/>
      <c r="J30" s="162"/>
      <c r="K30" s="162"/>
      <c r="L30" s="162"/>
    </row>
    <row r="31" spans="1:14" ht="16.5" thickTop="1" thickBot="1" x14ac:dyDescent="0.3">
      <c r="B31" s="75" t="s">
        <v>363</v>
      </c>
      <c r="C31" s="314">
        <f>IS!C27</f>
        <v>3.14</v>
      </c>
      <c r="D31" s="314">
        <f>IS!D27</f>
        <v>2.5499999999999998</v>
      </c>
      <c r="E31" s="314">
        <f>IS!E27</f>
        <v>2.13</v>
      </c>
      <c r="F31" s="314">
        <f>IS!F27</f>
        <v>2.77</v>
      </c>
      <c r="G31" s="314">
        <f>IS!G27</f>
        <v>3.51</v>
      </c>
      <c r="H31" s="314">
        <f>IS!H27</f>
        <v>3.7556290600044306</v>
      </c>
      <c r="I31" s="314">
        <f>IS!I27</f>
        <v>4.083299079979863</v>
      </c>
      <c r="J31" s="314">
        <f>IS!J27</f>
        <v>4.4658827442872155</v>
      </c>
      <c r="K31" s="314">
        <f>IS!K27</f>
        <v>4.9928799916050073</v>
      </c>
      <c r="L31" s="314">
        <f>IS!L27</f>
        <v>5.6898154929307152</v>
      </c>
      <c r="N31" t="s">
        <v>404</v>
      </c>
    </row>
    <row r="32" spans="1:14" ht="16.5" thickTop="1" thickBot="1" x14ac:dyDescent="0.3">
      <c r="B32" s="75" t="s">
        <v>385</v>
      </c>
      <c r="C32" s="316">
        <f>C33/C31</f>
        <v>25.134618778882697</v>
      </c>
      <c r="D32" s="316">
        <f t="shared" ref="D32:G32" si="19">D33/D31</f>
        <v>31.338052471302614</v>
      </c>
      <c r="E32" s="316">
        <f t="shared" si="19"/>
        <v>32.835507550900388</v>
      </c>
      <c r="F32" s="316">
        <f t="shared" si="19"/>
        <v>24.652875541093657</v>
      </c>
      <c r="G32" s="316">
        <f t="shared" si="19"/>
        <v>29.993746607391842</v>
      </c>
      <c r="H32" s="316">
        <f>AVERAGE(C32:G32)</f>
        <v>28.790960189914237</v>
      </c>
      <c r="I32" s="316">
        <f t="shared" ref="I32:L32" si="20">AVERAGE(D32:H32)</f>
        <v>29.522228472120549</v>
      </c>
      <c r="J32" s="316">
        <f t="shared" si="20"/>
        <v>29.159063672284141</v>
      </c>
      <c r="K32" s="316">
        <f t="shared" si="20"/>
        <v>28.423774896560882</v>
      </c>
      <c r="L32" s="316">
        <f t="shared" si="20"/>
        <v>29.177954767654331</v>
      </c>
      <c r="N32" t="s">
        <v>405</v>
      </c>
    </row>
    <row r="33" spans="1:14" ht="16.5" thickTop="1" thickBot="1" x14ac:dyDescent="0.3">
      <c r="B33" s="75" t="s">
        <v>364</v>
      </c>
      <c r="C33" s="316">
        <f>C35/C34</f>
        <v>78.92270296569167</v>
      </c>
      <c r="D33" s="316">
        <f t="shared" ref="D33:G33" si="21">D35/D34</f>
        <v>79.912033801821664</v>
      </c>
      <c r="E33" s="316">
        <f t="shared" si="21"/>
        <v>69.939631083417822</v>
      </c>
      <c r="F33" s="316">
        <f t="shared" si="21"/>
        <v>68.288465248829425</v>
      </c>
      <c r="G33" s="316">
        <f t="shared" si="21"/>
        <v>105.27805059194536</v>
      </c>
      <c r="H33" s="316">
        <f>H31*H32-20</f>
        <v>88.128166754672591</v>
      </c>
      <c r="I33" s="316">
        <f t="shared" ref="I33:L33" si="22">I31*I32-20</f>
        <v>100.54808835916515</v>
      </c>
      <c r="J33" s="316">
        <f t="shared" si="22"/>
        <v>110.22095929362595</v>
      </c>
      <c r="K33" s="316">
        <f t="shared" si="22"/>
        <v>121.91649696692352</v>
      </c>
      <c r="L33" s="316">
        <f t="shared" si="22"/>
        <v>146.01717908903123</v>
      </c>
      <c r="N33" t="s">
        <v>624</v>
      </c>
    </row>
    <row r="34" spans="1:14" ht="15.75" thickTop="1" x14ac:dyDescent="0.25">
      <c r="A34" s="29"/>
      <c r="B34" s="75" t="s">
        <v>365</v>
      </c>
      <c r="C34" s="35">
        <f>18701843/(10^6)</f>
        <v>18.701843</v>
      </c>
      <c r="D34" s="35">
        <f>16518163/(10^6)</f>
        <v>16.518163000000001</v>
      </c>
      <c r="E34" s="35">
        <f>18701843/(10^6)</f>
        <v>18.701843</v>
      </c>
      <c r="F34" s="35">
        <f>16518163/(10^6)</f>
        <v>16.518163000000001</v>
      </c>
      <c r="G34" s="35">
        <f>16518163/(10^6)</f>
        <v>16.518163000000001</v>
      </c>
      <c r="H34" s="318">
        <f>AVERAGE(C34:G34)</f>
        <v>17.391635000000001</v>
      </c>
      <c r="I34" s="318">
        <f t="shared" ref="I34:L34" si="23">AVERAGE(D34:H34)</f>
        <v>17.129593399999997</v>
      </c>
      <c r="J34" s="318">
        <f t="shared" si="23"/>
        <v>17.251879480000003</v>
      </c>
      <c r="K34" s="318">
        <f t="shared" si="23"/>
        <v>16.961886776</v>
      </c>
      <c r="L34" s="318">
        <f t="shared" si="23"/>
        <v>17.050631531200001</v>
      </c>
      <c r="N34" t="s">
        <v>405</v>
      </c>
    </row>
    <row r="35" spans="1:14" s="31" customFormat="1" ht="15.75" thickBot="1" x14ac:dyDescent="0.3">
      <c r="B35" s="257" t="s">
        <v>366</v>
      </c>
      <c r="C35" s="367">
        <f>-CFS!C45</f>
        <v>1476</v>
      </c>
      <c r="D35" s="367">
        <f>-CFS!D45</f>
        <v>1320</v>
      </c>
      <c r="E35" s="367">
        <f>-CFS!E45</f>
        <v>1308</v>
      </c>
      <c r="F35" s="367">
        <f>-CFS!F45</f>
        <v>1128</v>
      </c>
      <c r="G35" s="367">
        <f>-CFS!G45</f>
        <v>1739</v>
      </c>
      <c r="H35" s="320">
        <f>H33*H34</f>
        <v>1532.6929094164004</v>
      </c>
      <c r="I35" s="320">
        <f t="shared" ref="I35:L35" si="24">I33*I34</f>
        <v>1722.3478707397719</v>
      </c>
      <c r="J35" s="320">
        <f t="shared" si="24"/>
        <v>1901.5187059036211</v>
      </c>
      <c r="K35" s="320">
        <f t="shared" si="24"/>
        <v>2067.933817679504</v>
      </c>
      <c r="L35" s="320">
        <f t="shared" si="24"/>
        <v>2489.6851178723132</v>
      </c>
      <c r="N35"/>
    </row>
    <row r="36" spans="1:14" ht="15.75" thickTop="1" x14ac:dyDescent="0.25">
      <c r="C36" s="162"/>
      <c r="D36" s="162"/>
      <c r="E36" s="162"/>
      <c r="F36" s="162"/>
      <c r="G36" s="162"/>
      <c r="H36" s="162"/>
      <c r="I36" s="162"/>
      <c r="J36" s="162"/>
      <c r="K36" s="162"/>
      <c r="L36" s="162"/>
    </row>
    <row r="37" spans="1:14" ht="15.75" thickBot="1" x14ac:dyDescent="0.3">
      <c r="A37" s="81" t="s">
        <v>120</v>
      </c>
      <c r="B37" s="269" t="s">
        <v>360</v>
      </c>
      <c r="C37" s="271"/>
      <c r="D37" s="271"/>
      <c r="E37" s="271"/>
      <c r="F37" s="271"/>
      <c r="G37" s="271"/>
      <c r="H37" s="271"/>
      <c r="I37" s="271"/>
      <c r="J37" s="271"/>
      <c r="K37" s="271"/>
      <c r="L37" s="271"/>
    </row>
    <row r="38" spans="1:14" ht="16.5" thickTop="1" thickBot="1" x14ac:dyDescent="0.3">
      <c r="B38" s="75" t="s">
        <v>367</v>
      </c>
      <c r="C38" s="314">
        <f>-CFS!C44</f>
        <v>1654</v>
      </c>
      <c r="D38" s="314">
        <f>-CFS!D44</f>
        <v>1679</v>
      </c>
      <c r="E38" s="314">
        <f>-CFS!E44</f>
        <v>1691</v>
      </c>
      <c r="F38" s="314">
        <f>-CFS!F44</f>
        <v>1749</v>
      </c>
      <c r="G38" s="314">
        <f>-CFS!G44</f>
        <v>1789</v>
      </c>
      <c r="H38" s="361">
        <f>H39*H40</f>
        <v>2225.271118706843</v>
      </c>
      <c r="I38" s="361">
        <f t="shared" ref="I38:L38" si="25">I39*I40</f>
        <v>2464.0026951090881</v>
      </c>
      <c r="J38" s="361">
        <f t="shared" si="25"/>
        <v>2653.8388919372728</v>
      </c>
      <c r="K38" s="361">
        <f t="shared" si="25"/>
        <v>2804.4462594826728</v>
      </c>
      <c r="L38" s="361">
        <f t="shared" si="25"/>
        <v>3123.9658318258453</v>
      </c>
    </row>
    <row r="39" spans="1:14" ht="15.75" thickTop="1" x14ac:dyDescent="0.25">
      <c r="A39" s="31"/>
      <c r="B39" s="75" t="s">
        <v>281</v>
      </c>
      <c r="C39" s="363">
        <f>IS!C22</f>
        <v>2860</v>
      </c>
      <c r="D39" s="363">
        <f>IS!D22</f>
        <v>2338</v>
      </c>
      <c r="E39" s="363">
        <f>IS!E22</f>
        <v>1967</v>
      </c>
      <c r="F39" s="363">
        <f>IS!F22</f>
        <v>2455</v>
      </c>
      <c r="G39" s="363">
        <f>IS!G22</f>
        <v>3049</v>
      </c>
      <c r="H39" s="363">
        <f>IS!H22</f>
        <v>3220.0698185603792</v>
      </c>
      <c r="I39" s="363">
        <f>IS!I22</f>
        <v>3452.8640532927211</v>
      </c>
      <c r="J39" s="363">
        <f>IS!J22</f>
        <v>3723.6070242275368</v>
      </c>
      <c r="K39" s="363">
        <f>IS!K22</f>
        <v>4104.2028670969621</v>
      </c>
      <c r="L39" s="363">
        <f>IS!L22</f>
        <v>4611.0995226519735</v>
      </c>
    </row>
    <row r="40" spans="1:14" s="31" customFormat="1" ht="15.75" thickBot="1" x14ac:dyDescent="0.3">
      <c r="B40" s="257" t="s">
        <v>368</v>
      </c>
      <c r="C40" s="368">
        <f>C38/C39</f>
        <v>0.57832167832167836</v>
      </c>
      <c r="D40" s="368">
        <f t="shared" ref="D40:G40" si="26">D38/D39</f>
        <v>0.71813515825491869</v>
      </c>
      <c r="E40" s="368">
        <f t="shared" si="26"/>
        <v>0.85968479918657859</v>
      </c>
      <c r="F40" s="368">
        <f t="shared" si="26"/>
        <v>0.71242362525458247</v>
      </c>
      <c r="G40" s="368">
        <f t="shared" si="26"/>
        <v>0.58674975401771068</v>
      </c>
      <c r="H40" s="368">
        <f>AVERAGE(C40:G40)</f>
        <v>0.69106300300709367</v>
      </c>
      <c r="I40" s="368">
        <f t="shared" ref="I40:L40" si="27">AVERAGE(D40:H40)</f>
        <v>0.71361126794417673</v>
      </c>
      <c r="J40" s="368">
        <f t="shared" si="27"/>
        <v>0.71270648988202834</v>
      </c>
      <c r="K40" s="368">
        <f t="shared" si="27"/>
        <v>0.68331082802111831</v>
      </c>
      <c r="L40" s="368">
        <f t="shared" si="27"/>
        <v>0.67748826857442546</v>
      </c>
      <c r="N40" t="s">
        <v>369</v>
      </c>
    </row>
    <row r="41" spans="1:14" ht="15.75" thickTop="1" x14ac:dyDescent="0.25">
      <c r="C41" s="265"/>
      <c r="D41" s="265"/>
      <c r="E41" s="265"/>
      <c r="F41" s="265"/>
      <c r="G41" s="265"/>
      <c r="H41" s="265"/>
      <c r="I41" s="162"/>
      <c r="J41" s="162"/>
      <c r="K41" s="162"/>
      <c r="L41" s="162"/>
    </row>
    <row r="42" spans="1:14" ht="15.75" thickBot="1" x14ac:dyDescent="0.3">
      <c r="A42" s="81" t="s">
        <v>59</v>
      </c>
      <c r="B42" s="269" t="s">
        <v>361</v>
      </c>
      <c r="C42" s="272"/>
      <c r="D42" s="272"/>
      <c r="E42" s="272"/>
      <c r="F42" s="272"/>
      <c r="G42" s="272"/>
      <c r="H42" s="272"/>
      <c r="I42" s="271"/>
      <c r="J42" s="271"/>
      <c r="K42" s="271"/>
      <c r="L42" s="271"/>
    </row>
    <row r="43" spans="1:14" ht="16.5" thickTop="1" thickBot="1" x14ac:dyDescent="0.3">
      <c r="B43" s="75" t="s">
        <v>370</v>
      </c>
      <c r="C43" s="361">
        <f>C45/C44</f>
        <v>67.135983550608628</v>
      </c>
      <c r="D43" s="361">
        <f t="shared" ref="D43:G43" si="28">D45/D44</f>
        <v>66.689808869209799</v>
      </c>
      <c r="E43" s="361">
        <f t="shared" si="28"/>
        <v>73.920913818117768</v>
      </c>
      <c r="F43" s="361">
        <f t="shared" si="28"/>
        <v>71.449657135658455</v>
      </c>
      <c r="G43" s="361">
        <f t="shared" si="28"/>
        <v>119.96021382250025</v>
      </c>
      <c r="H43" s="361">
        <f>AVERAGE(C43:G43)</f>
        <v>79.831315439218969</v>
      </c>
      <c r="I43" s="361">
        <f t="shared" ref="I43:L43" si="29">AVERAGE(D43:H43)</f>
        <v>82.370381816941034</v>
      </c>
      <c r="J43" s="361">
        <f t="shared" si="29"/>
        <v>85.506496406487301</v>
      </c>
      <c r="K43" s="361">
        <f t="shared" si="29"/>
        <v>87.82361292416121</v>
      </c>
      <c r="L43" s="361">
        <f t="shared" si="29"/>
        <v>91.098404081861759</v>
      </c>
    </row>
    <row r="44" spans="1:14" ht="15.75" thickTop="1" x14ac:dyDescent="0.25">
      <c r="A44" s="31"/>
      <c r="B44" s="75" t="s">
        <v>371</v>
      </c>
      <c r="C44" s="551">
        <f>13018354/10^6</f>
        <v>13.018354</v>
      </c>
      <c r="D44" s="551">
        <f>6357793/(10^6)</f>
        <v>6.357793</v>
      </c>
      <c r="E44" s="551">
        <f>5654692/(10^6)</f>
        <v>5.6546919999999998</v>
      </c>
      <c r="F44" s="551">
        <f>5318430/(10^6)</f>
        <v>5.3184300000000002</v>
      </c>
      <c r="G44" s="551">
        <f>5318430/(10^6)</f>
        <v>5.3184300000000002</v>
      </c>
      <c r="H44" s="369">
        <f>AVERAGE(C44:G44)</f>
        <v>7.1335397999999994</v>
      </c>
      <c r="I44" s="369">
        <f t="shared" ref="I44:L44" si="30">AVERAGE(D44:H44)</f>
        <v>5.9565769599999996</v>
      </c>
      <c r="J44" s="369">
        <f t="shared" si="30"/>
        <v>5.876333751999999</v>
      </c>
      <c r="K44" s="369">
        <f t="shared" si="30"/>
        <v>5.9206621023999997</v>
      </c>
      <c r="L44" s="369">
        <f t="shared" si="30"/>
        <v>6.0411085228800001</v>
      </c>
    </row>
    <row r="45" spans="1:14" s="31" customFormat="1" ht="15.75" thickBot="1" x14ac:dyDescent="0.3">
      <c r="B45" s="257" t="s">
        <v>372</v>
      </c>
      <c r="C45" s="367">
        <f>CFS!C46</f>
        <v>874</v>
      </c>
      <c r="D45" s="367">
        <f>CFS!D46</f>
        <v>424</v>
      </c>
      <c r="E45" s="367">
        <f>CFS!E46</f>
        <v>418</v>
      </c>
      <c r="F45" s="367">
        <f>CFS!F46</f>
        <v>380</v>
      </c>
      <c r="G45" s="367">
        <f>CFS!G46</f>
        <v>638</v>
      </c>
      <c r="H45" s="320">
        <f>H43*H44</f>
        <v>569.47986597202294</v>
      </c>
      <c r="I45" s="320">
        <f t="shared" ref="I45:L45" si="31">I43*I44</f>
        <v>490.64551851719386</v>
      </c>
      <c r="J45" s="320">
        <f t="shared" si="31"/>
        <v>502.46471084870797</v>
      </c>
      <c r="K45" s="320">
        <f t="shared" si="31"/>
        <v>519.97393673592808</v>
      </c>
      <c r="L45" s="320">
        <f t="shared" si="31"/>
        <v>550.33534531970122</v>
      </c>
      <c r="N45"/>
    </row>
    <row r="46" spans="1:14" ht="15.75" thickTop="1" x14ac:dyDescent="0.25">
      <c r="A46" s="31"/>
      <c r="C46" s="162"/>
      <c r="D46" s="162"/>
      <c r="E46" s="162"/>
      <c r="F46" s="162"/>
      <c r="G46" s="162"/>
      <c r="H46" s="162"/>
      <c r="I46" s="162"/>
      <c r="J46" s="162"/>
      <c r="K46" s="162"/>
      <c r="L46" s="162"/>
    </row>
    <row r="47" spans="1:14" ht="15.75" thickBot="1" x14ac:dyDescent="0.3">
      <c r="A47" s="81" t="s">
        <v>121</v>
      </c>
      <c r="B47" s="31" t="s">
        <v>386</v>
      </c>
    </row>
    <row r="48" spans="1:14" ht="16.5" thickTop="1" thickBot="1" x14ac:dyDescent="0.3">
      <c r="A48" s="31"/>
      <c r="B48" t="s">
        <v>358</v>
      </c>
      <c r="C48" s="260"/>
      <c r="D48" s="260"/>
      <c r="E48" s="260"/>
      <c r="F48" s="260"/>
      <c r="G48" s="260"/>
      <c r="H48" s="316">
        <f>G51</f>
        <v>819.1</v>
      </c>
      <c r="I48" s="316">
        <f t="shared" ref="I48:L48" si="32">H51</f>
        <v>808.84190480000007</v>
      </c>
      <c r="J48" s="316">
        <f t="shared" si="32"/>
        <v>797.6688883600001</v>
      </c>
      <c r="K48" s="316">
        <f t="shared" si="32"/>
        <v>786.29334263200019</v>
      </c>
      <c r="L48" s="316">
        <f t="shared" si="32"/>
        <v>775.25211795840016</v>
      </c>
    </row>
    <row r="49" spans="1:14" ht="16.5" thickTop="1" thickBot="1" x14ac:dyDescent="0.3">
      <c r="A49" s="31"/>
      <c r="B49" s="264" t="s">
        <v>387</v>
      </c>
      <c r="C49" s="260"/>
      <c r="D49" s="260"/>
      <c r="E49" s="260"/>
      <c r="F49" s="260"/>
      <c r="G49" s="260"/>
      <c r="H49" s="316">
        <f>H44</f>
        <v>7.1335397999999994</v>
      </c>
      <c r="I49" s="316">
        <f>I44</f>
        <v>5.9565769599999996</v>
      </c>
      <c r="J49" s="316">
        <f>J44</f>
        <v>5.876333751999999</v>
      </c>
      <c r="K49" s="316">
        <f>K44</f>
        <v>5.9206621023999997</v>
      </c>
      <c r="L49" s="316">
        <f>L44</f>
        <v>6.0411085228800001</v>
      </c>
    </row>
    <row r="50" spans="1:14" ht="15.75" thickTop="1" x14ac:dyDescent="0.25">
      <c r="A50" s="31"/>
      <c r="B50" s="264" t="s">
        <v>388</v>
      </c>
      <c r="C50" s="260"/>
      <c r="D50" s="260"/>
      <c r="E50" s="260"/>
      <c r="F50" s="260"/>
      <c r="G50" s="260"/>
      <c r="H50" s="318">
        <f>-H34</f>
        <v>-17.391635000000001</v>
      </c>
      <c r="I50" s="318">
        <f>-I34</f>
        <v>-17.129593399999997</v>
      </c>
      <c r="J50" s="318">
        <f>-J34</f>
        <v>-17.251879480000003</v>
      </c>
      <c r="K50" s="318">
        <f>-K34</f>
        <v>-16.961886776</v>
      </c>
      <c r="L50" s="318">
        <f>-L34</f>
        <v>-17.050631531200001</v>
      </c>
    </row>
    <row r="51" spans="1:14" ht="15.75" thickBot="1" x14ac:dyDescent="0.3">
      <c r="A51" s="31"/>
      <c r="B51" s="371" t="s">
        <v>362</v>
      </c>
      <c r="C51" s="372">
        <v>856.8</v>
      </c>
      <c r="D51" s="372">
        <v>845</v>
      </c>
      <c r="E51" s="372">
        <v>836.4</v>
      </c>
      <c r="F51" s="372">
        <v>827.4</v>
      </c>
      <c r="G51" s="372">
        <v>819.1</v>
      </c>
      <c r="H51" s="373">
        <f>SUM(H48:H50)</f>
        <v>808.84190480000007</v>
      </c>
      <c r="I51" s="373">
        <f t="shared" ref="I51:L51" si="33">SUM(I48:I50)</f>
        <v>797.6688883600001</v>
      </c>
      <c r="J51" s="373">
        <f t="shared" si="33"/>
        <v>786.29334263200019</v>
      </c>
      <c r="K51" s="373">
        <f t="shared" si="33"/>
        <v>775.25211795840016</v>
      </c>
      <c r="L51" s="373">
        <f t="shared" si="33"/>
        <v>764.24259495008016</v>
      </c>
    </row>
    <row r="52" spans="1:14" ht="15.75" thickTop="1" x14ac:dyDescent="0.25">
      <c r="A52" s="31"/>
      <c r="B52" t="s">
        <v>389</v>
      </c>
      <c r="C52" s="370">
        <v>2.5</v>
      </c>
      <c r="D52" s="370">
        <v>3.3</v>
      </c>
      <c r="E52" s="370">
        <v>2.4</v>
      </c>
      <c r="F52" s="370">
        <v>1.8</v>
      </c>
      <c r="G52" s="322">
        <v>4.0999999999999996</v>
      </c>
      <c r="H52" s="322">
        <f t="shared" ref="H52:I52" si="34">10.69/3</f>
        <v>3.563333333333333</v>
      </c>
      <c r="I52" s="322">
        <f t="shared" si="34"/>
        <v>3.563333333333333</v>
      </c>
      <c r="J52" s="322">
        <f>AVERAGE(G52:I52)</f>
        <v>3.7422222222222215</v>
      </c>
      <c r="K52" s="322">
        <f>AVERAGE(H52:J52)</f>
        <v>3.6229629629629625</v>
      </c>
      <c r="L52" s="322">
        <f>AVERAGE(I52:K52)</f>
        <v>3.6428395061728391</v>
      </c>
      <c r="N52" t="s">
        <v>560</v>
      </c>
    </row>
    <row r="53" spans="1:14" ht="15.75" thickBot="1" x14ac:dyDescent="0.3">
      <c r="A53" s="31"/>
      <c r="B53" s="175" t="s">
        <v>390</v>
      </c>
      <c r="C53" s="320">
        <f t="shared" ref="C53:L53" si="35">C51+C52</f>
        <v>859.3</v>
      </c>
      <c r="D53" s="320">
        <f t="shared" si="35"/>
        <v>848.3</v>
      </c>
      <c r="E53" s="320">
        <f t="shared" si="35"/>
        <v>838.8</v>
      </c>
      <c r="F53" s="320">
        <f t="shared" si="35"/>
        <v>829.19999999999993</v>
      </c>
      <c r="G53" s="320">
        <f t="shared" si="35"/>
        <v>823.2</v>
      </c>
      <c r="H53" s="320">
        <f t="shared" si="35"/>
        <v>812.40523813333346</v>
      </c>
      <c r="I53" s="320">
        <f t="shared" si="35"/>
        <v>801.23222169333349</v>
      </c>
      <c r="J53" s="320">
        <f t="shared" si="35"/>
        <v>790.03556485422246</v>
      </c>
      <c r="K53" s="320">
        <f t="shared" si="35"/>
        <v>778.87508092136318</v>
      </c>
      <c r="L53" s="320">
        <f t="shared" si="35"/>
        <v>767.88543445625305</v>
      </c>
    </row>
    <row r="54" spans="1:14" ht="15.75" thickTop="1" x14ac:dyDescent="0.25">
      <c r="A54" s="31"/>
      <c r="I54" s="162"/>
      <c r="J54" s="162"/>
      <c r="K54" s="162"/>
      <c r="L54" s="162"/>
    </row>
    <row r="55" spans="1:14" x14ac:dyDescent="0.25">
      <c r="B55" s="23" t="s">
        <v>22</v>
      </c>
      <c r="C55" s="162"/>
      <c r="D55" s="162"/>
      <c r="E55" s="162"/>
      <c r="F55" s="162"/>
      <c r="G55" s="162"/>
      <c r="H55" s="162"/>
      <c r="I55" s="162"/>
      <c r="J55" s="162"/>
      <c r="K55" s="162"/>
      <c r="L55" s="162"/>
    </row>
    <row r="56" spans="1:14" x14ac:dyDescent="0.25">
      <c r="A56" s="29"/>
      <c r="B56" t="s">
        <v>23</v>
      </c>
      <c r="C56" s="162"/>
      <c r="D56" s="162"/>
      <c r="E56" s="162"/>
      <c r="F56" s="162"/>
      <c r="G56" s="162"/>
      <c r="H56" s="162"/>
      <c r="I56" s="162"/>
      <c r="J56" s="162"/>
      <c r="K56" s="162"/>
      <c r="L56" s="162"/>
    </row>
    <row r="57" spans="1:14" x14ac:dyDescent="0.25">
      <c r="A57" s="31"/>
      <c r="C57" s="162"/>
      <c r="D57" s="162"/>
      <c r="E57" s="162"/>
      <c r="F57" s="162"/>
      <c r="G57" s="162"/>
      <c r="H57" s="162"/>
      <c r="I57" s="162"/>
      <c r="J57" s="162"/>
      <c r="K57" s="162"/>
      <c r="L57" s="162"/>
    </row>
    <row r="58" spans="1:14" x14ac:dyDescent="0.25">
      <c r="C58" s="162"/>
      <c r="D58" s="162"/>
      <c r="E58" s="162"/>
      <c r="F58" s="162"/>
      <c r="G58" s="162"/>
      <c r="H58" s="162"/>
      <c r="I58" s="162"/>
      <c r="J58" s="162"/>
      <c r="K58" s="162"/>
      <c r="L58" s="162"/>
    </row>
    <row r="59" spans="1:14" x14ac:dyDescent="0.25">
      <c r="A59" s="31"/>
      <c r="C59" s="162"/>
      <c r="D59" s="162"/>
      <c r="E59" s="162"/>
      <c r="F59" s="162"/>
      <c r="G59" s="162"/>
      <c r="H59" s="162"/>
      <c r="I59" s="162"/>
      <c r="J59" s="162"/>
      <c r="K59" s="162"/>
      <c r="L59" s="162"/>
    </row>
    <row r="60" spans="1:14" x14ac:dyDescent="0.25">
      <c r="C60" s="162"/>
      <c r="D60" s="162"/>
      <c r="E60" s="162"/>
      <c r="F60" s="162"/>
      <c r="G60" s="162"/>
      <c r="H60" s="162"/>
      <c r="I60" s="162"/>
      <c r="J60" s="162"/>
      <c r="K60" s="162"/>
      <c r="L60" s="162"/>
    </row>
    <row r="61" spans="1:14" x14ac:dyDescent="0.25">
      <c r="C61" s="162"/>
      <c r="D61" s="162"/>
      <c r="E61" s="162"/>
      <c r="F61" s="162"/>
      <c r="G61" s="162"/>
      <c r="H61" s="162"/>
      <c r="I61" s="162"/>
      <c r="J61" s="162"/>
      <c r="K61" s="162"/>
      <c r="L61" s="162"/>
    </row>
    <row r="62" spans="1:14" x14ac:dyDescent="0.25">
      <c r="C62" s="162"/>
      <c r="D62" s="162"/>
      <c r="E62" s="162"/>
      <c r="F62" s="162"/>
      <c r="G62" s="162"/>
      <c r="H62" s="162"/>
      <c r="I62" s="162"/>
      <c r="J62" s="162"/>
      <c r="K62" s="162"/>
      <c r="L62" s="162"/>
    </row>
    <row r="63" spans="1:14" x14ac:dyDescent="0.25">
      <c r="A63" s="31"/>
      <c r="C63" s="162"/>
      <c r="D63" s="162"/>
      <c r="E63" s="162"/>
      <c r="F63" s="162"/>
      <c r="G63" s="162"/>
      <c r="H63" s="162"/>
      <c r="I63" s="162"/>
      <c r="J63" s="162"/>
      <c r="K63" s="162"/>
      <c r="L63" s="162"/>
    </row>
    <row r="64" spans="1:14" x14ac:dyDescent="0.25">
      <c r="C64" s="162"/>
      <c r="D64" s="162"/>
      <c r="E64" s="162"/>
      <c r="F64" s="162"/>
      <c r="G64" s="162"/>
      <c r="H64" s="162"/>
      <c r="I64" s="162"/>
      <c r="J64" s="162"/>
      <c r="K64" s="162"/>
      <c r="L64" s="162"/>
    </row>
    <row r="65" spans="1:12" x14ac:dyDescent="0.25">
      <c r="A65" s="31"/>
      <c r="C65" s="162"/>
      <c r="D65" s="162"/>
      <c r="E65" s="162"/>
      <c r="F65" s="162"/>
      <c r="G65" s="162"/>
      <c r="H65" s="162"/>
      <c r="I65" s="162"/>
      <c r="J65" s="162"/>
      <c r="K65" s="162"/>
      <c r="L65" s="162"/>
    </row>
    <row r="66" spans="1:12" x14ac:dyDescent="0.25">
      <c r="C66" s="162"/>
      <c r="D66" s="162"/>
      <c r="E66" s="162"/>
      <c r="F66" s="162"/>
      <c r="G66" s="162"/>
      <c r="H66" s="162"/>
      <c r="I66" s="162"/>
      <c r="J66" s="162"/>
      <c r="K66" s="162"/>
      <c r="L66" s="162"/>
    </row>
    <row r="67" spans="1:12" x14ac:dyDescent="0.25">
      <c r="C67" s="162"/>
      <c r="D67" s="162"/>
      <c r="E67" s="162"/>
      <c r="F67" s="162"/>
      <c r="G67" s="162"/>
      <c r="H67" s="162"/>
      <c r="I67" s="162"/>
      <c r="J67" s="162"/>
      <c r="K67" s="162"/>
      <c r="L67" s="162"/>
    </row>
    <row r="68" spans="1:12" x14ac:dyDescent="0.25">
      <c r="C68" s="162"/>
      <c r="D68" s="162"/>
      <c r="E68" s="162"/>
      <c r="F68" s="162"/>
      <c r="G68" s="162"/>
      <c r="H68" s="162"/>
      <c r="I68" s="162"/>
      <c r="J68" s="162"/>
      <c r="K68" s="162"/>
      <c r="L68" s="162"/>
    </row>
    <row r="69" spans="1:12" x14ac:dyDescent="0.25">
      <c r="A69" s="31"/>
      <c r="C69" s="162"/>
      <c r="D69" s="162"/>
      <c r="E69" s="162"/>
      <c r="F69" s="162"/>
      <c r="G69" s="162"/>
      <c r="H69" s="162"/>
      <c r="I69" s="162"/>
      <c r="J69" s="162"/>
      <c r="K69" s="162"/>
      <c r="L69" s="162"/>
    </row>
    <row r="70" spans="1:12" x14ac:dyDescent="0.25">
      <c r="C70" s="162"/>
      <c r="D70" s="162"/>
      <c r="E70" s="162"/>
      <c r="F70" s="162"/>
      <c r="G70" s="162"/>
      <c r="H70" s="162"/>
      <c r="I70" s="162"/>
      <c r="J70" s="162"/>
      <c r="K70" s="162"/>
      <c r="L70" s="162"/>
    </row>
    <row r="71" spans="1:12" x14ac:dyDescent="0.25">
      <c r="C71" s="162"/>
      <c r="D71" s="162"/>
      <c r="E71" s="162"/>
      <c r="F71" s="162"/>
      <c r="G71" s="162"/>
      <c r="H71" s="162"/>
      <c r="I71" s="162"/>
      <c r="J71" s="162"/>
      <c r="K71" s="162"/>
      <c r="L71" s="162"/>
    </row>
    <row r="72" spans="1:12" x14ac:dyDescent="0.25">
      <c r="C72" s="162"/>
      <c r="D72" s="162"/>
      <c r="E72" s="162"/>
      <c r="F72" s="162"/>
      <c r="G72" s="162"/>
      <c r="H72" s="162"/>
      <c r="I72" s="162"/>
      <c r="J72" s="162"/>
      <c r="K72" s="162"/>
      <c r="L72" s="162"/>
    </row>
    <row r="73" spans="1:12" x14ac:dyDescent="0.25">
      <c r="C73" s="162"/>
      <c r="D73" s="162"/>
      <c r="E73" s="162"/>
      <c r="F73" s="162"/>
      <c r="G73" s="162"/>
      <c r="H73" s="162"/>
      <c r="I73" s="162"/>
      <c r="J73" s="162"/>
      <c r="K73" s="162"/>
      <c r="L73" s="162"/>
    </row>
    <row r="74" spans="1:12" x14ac:dyDescent="0.25">
      <c r="C74" s="162"/>
      <c r="D74" s="162"/>
      <c r="E74" s="162"/>
      <c r="F74" s="162"/>
      <c r="G74" s="162"/>
      <c r="H74" s="162"/>
      <c r="I74" s="162"/>
      <c r="J74" s="162"/>
      <c r="K74" s="162"/>
      <c r="L74" s="162"/>
    </row>
    <row r="75" spans="1:12" x14ac:dyDescent="0.25">
      <c r="C75" s="162"/>
      <c r="D75" s="162"/>
      <c r="E75" s="162"/>
      <c r="F75" s="162"/>
      <c r="G75" s="162"/>
      <c r="H75" s="162"/>
      <c r="I75" s="162"/>
      <c r="J75" s="162"/>
      <c r="K75" s="162"/>
      <c r="L75" s="162"/>
    </row>
    <row r="77" spans="1:12" x14ac:dyDescent="0.25">
      <c r="A77" s="31"/>
    </row>
    <row r="81" spans="1:1" x14ac:dyDescent="0.25">
      <c r="A81" s="29"/>
    </row>
    <row r="83" spans="1:1" x14ac:dyDescent="0.25">
      <c r="A83" s="31"/>
    </row>
    <row r="87" spans="1:1" x14ac:dyDescent="0.25">
      <c r="A87" s="29"/>
    </row>
    <row r="89" spans="1:1" x14ac:dyDescent="0.25">
      <c r="A89" s="31"/>
    </row>
    <row r="93" spans="1:1" x14ac:dyDescent="0.25">
      <c r="A93" s="29"/>
    </row>
    <row r="95" spans="1:1" x14ac:dyDescent="0.25">
      <c r="A95" s="31"/>
    </row>
    <row r="97" spans="1:1" x14ac:dyDescent="0.25">
      <c r="A97" s="29"/>
    </row>
    <row r="99" spans="1:1" x14ac:dyDescent="0.25">
      <c r="A99" s="31"/>
    </row>
    <row r="101" spans="1:1" x14ac:dyDescent="0.25">
      <c r="A101" s="29"/>
    </row>
  </sheetData>
  <mergeCells count="2">
    <mergeCell ref="C9:G9"/>
    <mergeCell ref="H9:L9"/>
  </mergeCells>
  <pageMargins left="0.7" right="0.7" top="0.75" bottom="0.75" header="0.3" footer="0.3"/>
  <pageSetup scale="54" orientation="portrait" r:id="rId1"/>
  <ignoredErrors>
    <ignoredError sqref="H34:L34 H33:L33" formula="1"/>
  </ignoredError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9F068-61BB-42D3-B6D7-316B30758D56}">
  <dimension ref="A1:T50"/>
  <sheetViews>
    <sheetView showGridLines="0" view="pageBreakPreview" topLeftCell="A20" zoomScale="80" zoomScaleNormal="100" zoomScaleSheetLayoutView="80" workbookViewId="0">
      <selection activeCell="H31" sqref="H31"/>
    </sheetView>
  </sheetViews>
  <sheetFormatPr defaultRowHeight="15" x14ac:dyDescent="0.25"/>
  <cols>
    <col min="1" max="1" width="3.7109375" bestFit="1" customWidth="1"/>
    <col min="2" max="2" width="43.28515625" bestFit="1" customWidth="1"/>
    <col min="3" max="3" width="10.5703125" bestFit="1" customWidth="1"/>
    <col min="4" max="5" width="10.140625" bestFit="1" customWidth="1"/>
    <col min="6" max="6" width="10.5703125" bestFit="1" customWidth="1"/>
    <col min="7" max="7" width="10.140625" bestFit="1" customWidth="1"/>
    <col min="8" max="10" width="10.5703125" bestFit="1" customWidth="1"/>
    <col min="11" max="11" width="10.7109375" bestFit="1" customWidth="1"/>
    <col min="12" max="12" width="10.5703125" bestFit="1" customWidth="1"/>
    <col min="13" max="13" width="3.28515625" bestFit="1" customWidth="1"/>
    <col min="16" max="17" width="9.140625" bestFit="1" customWidth="1"/>
  </cols>
  <sheetData>
    <row r="1" spans="1:17" x14ac:dyDescent="0.25">
      <c r="P1" s="8"/>
      <c r="Q1" s="156"/>
    </row>
    <row r="7" spans="1:17" x14ac:dyDescent="0.25">
      <c r="A7" s="31"/>
    </row>
    <row r="8" spans="1:17" x14ac:dyDescent="0.25">
      <c r="A8" s="31"/>
    </row>
    <row r="9" spans="1:17" ht="15.75" thickBot="1" x14ac:dyDescent="0.3">
      <c r="A9" s="81" t="s">
        <v>57</v>
      </c>
      <c r="B9" s="31" t="s">
        <v>558</v>
      </c>
      <c r="H9" s="7"/>
    </row>
    <row r="10" spans="1:17" ht="18.75" thickTop="1" thickBot="1" x14ac:dyDescent="0.3">
      <c r="B10" s="12" t="s">
        <v>20</v>
      </c>
      <c r="C10" s="666" t="s">
        <v>21</v>
      </c>
      <c r="D10" s="666"/>
      <c r="E10" s="666"/>
      <c r="F10" s="666"/>
      <c r="G10" s="666"/>
      <c r="H10" s="666" t="s">
        <v>67</v>
      </c>
      <c r="I10" s="666"/>
      <c r="J10" s="666"/>
      <c r="K10" s="666"/>
      <c r="L10" s="666"/>
    </row>
    <row r="11" spans="1:17" ht="16.5" thickTop="1" thickBot="1" x14ac:dyDescent="0.3">
      <c r="B11" s="13"/>
      <c r="C11" s="128">
        <v>2020</v>
      </c>
      <c r="D11" s="128">
        <f>C11+1</f>
        <v>2021</v>
      </c>
      <c r="E11" s="128">
        <f t="shared" ref="E11:L11" si="0">D11+1</f>
        <v>2022</v>
      </c>
      <c r="F11" s="128">
        <f t="shared" si="0"/>
        <v>2023</v>
      </c>
      <c r="G11" s="128">
        <f t="shared" si="0"/>
        <v>2024</v>
      </c>
      <c r="H11" s="129">
        <f t="shared" si="0"/>
        <v>2025</v>
      </c>
      <c r="I11" s="129">
        <f t="shared" si="0"/>
        <v>2026</v>
      </c>
      <c r="J11" s="129">
        <f t="shared" si="0"/>
        <v>2027</v>
      </c>
      <c r="K11" s="129">
        <f t="shared" si="0"/>
        <v>2028</v>
      </c>
      <c r="L11" s="129">
        <f t="shared" si="0"/>
        <v>2029</v>
      </c>
    </row>
    <row r="12" spans="1:17" ht="16.5" thickTop="1" thickBot="1" x14ac:dyDescent="0.3">
      <c r="B12" t="s">
        <v>408</v>
      </c>
      <c r="C12" s="314">
        <f>CFS!C54</f>
        <v>883</v>
      </c>
      <c r="D12" s="314">
        <f>CFS!D54</f>
        <v>888</v>
      </c>
      <c r="E12" s="314">
        <f>CFS!E54</f>
        <v>832</v>
      </c>
      <c r="F12" s="314">
        <f>CFS!F54</f>
        <v>775</v>
      </c>
      <c r="G12" s="314">
        <f>CFS!G54</f>
        <v>966</v>
      </c>
      <c r="H12" s="314">
        <f>CFS!H54</f>
        <v>1096</v>
      </c>
      <c r="I12" s="314">
        <f>H33</f>
        <v>410.96205964594174</v>
      </c>
      <c r="J12" s="314">
        <f t="shared" ref="J12:L12" si="1">I33</f>
        <v>100</v>
      </c>
      <c r="K12" s="314">
        <f t="shared" si="1"/>
        <v>100</v>
      </c>
      <c r="L12" s="314">
        <f t="shared" si="1"/>
        <v>100</v>
      </c>
    </row>
    <row r="13" spans="1:17" ht="16.5" thickTop="1" thickBot="1" x14ac:dyDescent="0.3">
      <c r="B13" s="7" t="s">
        <v>391</v>
      </c>
      <c r="C13" s="314">
        <f>CFS!C29</f>
        <v>3719</v>
      </c>
      <c r="D13" s="314">
        <f>CFS!D29</f>
        <v>3325</v>
      </c>
      <c r="E13" s="314">
        <f>CFS!E29</f>
        <v>2556</v>
      </c>
      <c r="F13" s="314">
        <f>CFS!F29</f>
        <v>3745</v>
      </c>
      <c r="G13" s="314">
        <f>CFS!G29</f>
        <v>4107</v>
      </c>
      <c r="H13" s="314">
        <f>CFS!H29</f>
        <v>3718.1711349664238</v>
      </c>
      <c r="I13" s="314">
        <f>CFS!I29</f>
        <v>3726.0903392078708</v>
      </c>
      <c r="J13" s="314">
        <f>CFS!J29</f>
        <v>4045.9761621872199</v>
      </c>
      <c r="K13" s="314">
        <f>CFS!K29</f>
        <v>4886.2703081094405</v>
      </c>
      <c r="L13" s="314">
        <f>CFS!L29</f>
        <v>5379.3099722259585</v>
      </c>
    </row>
    <row r="14" spans="1:17" ht="16.5" thickTop="1" thickBot="1" x14ac:dyDescent="0.3">
      <c r="B14" s="7" t="s">
        <v>392</v>
      </c>
      <c r="C14" s="314">
        <f>CFS!C38</f>
        <v>-779</v>
      </c>
      <c r="D14" s="314">
        <f>CFS!D38</f>
        <v>-592</v>
      </c>
      <c r="E14" s="314">
        <f>CFS!E38</f>
        <v>-1601</v>
      </c>
      <c r="F14" s="314">
        <f>CFS!F38</f>
        <v>-742</v>
      </c>
      <c r="G14" s="314">
        <f>CFS!G38</f>
        <v>-534</v>
      </c>
      <c r="H14" s="314">
        <f>CFS!H38</f>
        <v>-693.72491316926187</v>
      </c>
      <c r="I14" s="314">
        <f>CFS!I38</f>
        <v>-783.47970480238837</v>
      </c>
      <c r="J14" s="314">
        <f>CFS!J38</f>
        <v>-855.08751117706993</v>
      </c>
      <c r="K14" s="314">
        <f>CFS!K38</f>
        <v>-905.67765474870225</v>
      </c>
      <c r="L14" s="314">
        <f>CFS!L38</f>
        <v>-973.6781078080777</v>
      </c>
    </row>
    <row r="15" spans="1:17" ht="16.5" thickTop="1" thickBot="1" x14ac:dyDescent="0.3">
      <c r="B15" s="307" t="s">
        <v>316</v>
      </c>
      <c r="C15" s="308"/>
      <c r="D15" s="308"/>
      <c r="E15" s="308"/>
      <c r="F15" s="308"/>
      <c r="G15" s="308"/>
      <c r="H15" s="314">
        <f>CFS!H44</f>
        <v>-2225.271118706843</v>
      </c>
      <c r="I15" s="314">
        <f>CFS!I44</f>
        <v>-2464.0026951090881</v>
      </c>
      <c r="J15" s="314">
        <f>CFS!J44</f>
        <v>-2653.8388919372728</v>
      </c>
      <c r="K15" s="314">
        <f>CFS!K44</f>
        <v>-2804.4462594826728</v>
      </c>
      <c r="L15" s="314">
        <f>CFS!L44</f>
        <v>-3123.9658318258453</v>
      </c>
    </row>
    <row r="16" spans="1:17" ht="16.5" thickTop="1" thickBot="1" x14ac:dyDescent="0.3">
      <c r="B16" s="307" t="s">
        <v>334</v>
      </c>
      <c r="C16" s="308"/>
      <c r="D16" s="308"/>
      <c r="E16" s="308"/>
      <c r="F16" s="308"/>
      <c r="G16" s="308"/>
      <c r="H16" s="314">
        <f>CFS!H45</f>
        <v>-1532.6929094164004</v>
      </c>
      <c r="I16" s="314">
        <f>CFS!I45</f>
        <v>-1722.3478707397719</v>
      </c>
      <c r="J16" s="314">
        <f>CFS!J45</f>
        <v>-1901.5187059036211</v>
      </c>
      <c r="K16" s="314">
        <f>CFS!K45</f>
        <v>-2067.933817679504</v>
      </c>
      <c r="L16" s="314">
        <f>CFS!L45</f>
        <v>-2489.6851178723132</v>
      </c>
    </row>
    <row r="17" spans="1:20" ht="16.5" thickTop="1" thickBot="1" x14ac:dyDescent="0.3">
      <c r="B17" s="307" t="s">
        <v>335</v>
      </c>
      <c r="C17" s="308"/>
      <c r="D17" s="308"/>
      <c r="E17" s="308"/>
      <c r="F17" s="308"/>
      <c r="G17" s="308"/>
      <c r="H17" s="314">
        <f>CFS!H46</f>
        <v>569.47986597202294</v>
      </c>
      <c r="I17" s="314">
        <f>CFS!I46</f>
        <v>490.64551851719386</v>
      </c>
      <c r="J17" s="314">
        <f>CFS!J46</f>
        <v>502.46471084870797</v>
      </c>
      <c r="K17" s="314">
        <f>CFS!K46</f>
        <v>519.97393673592808</v>
      </c>
      <c r="L17" s="314">
        <f>CFS!L46</f>
        <v>550.33534531970122</v>
      </c>
    </row>
    <row r="18" spans="1:20" ht="16.5" thickTop="1" thickBot="1" x14ac:dyDescent="0.3">
      <c r="B18" s="7" t="s">
        <v>409</v>
      </c>
      <c r="C18" s="314">
        <f>CFS!C52</f>
        <v>-16</v>
      </c>
      <c r="D18" s="314">
        <f>CFS!D52</f>
        <v>-15</v>
      </c>
      <c r="E18" s="314">
        <f>CFS!E52</f>
        <v>-60</v>
      </c>
      <c r="F18" s="314">
        <f>CFS!F52</f>
        <v>-19</v>
      </c>
      <c r="G18" s="314">
        <f>CFS!G52</f>
        <v>-54</v>
      </c>
      <c r="H18" s="314">
        <f>CFS!H52</f>
        <v>0</v>
      </c>
      <c r="I18" s="314">
        <f>CFS!I52</f>
        <v>0</v>
      </c>
      <c r="J18" s="314">
        <f>CFS!J52</f>
        <v>0</v>
      </c>
      <c r="K18" s="314">
        <f>CFS!K52</f>
        <v>0</v>
      </c>
      <c r="L18" s="314">
        <f>CFS!L52</f>
        <v>0</v>
      </c>
    </row>
    <row r="19" spans="1:20" ht="16.5" thickTop="1" thickBot="1" x14ac:dyDescent="0.3">
      <c r="B19" s="7"/>
      <c r="C19" s="259"/>
      <c r="D19" s="259"/>
      <c r="E19" s="259"/>
      <c r="F19" s="259"/>
      <c r="G19" s="259"/>
      <c r="H19" s="259"/>
      <c r="I19" s="259"/>
      <c r="J19" s="259"/>
      <c r="K19" s="259"/>
      <c r="L19" s="259"/>
    </row>
    <row r="20" spans="1:20" ht="16.5" thickTop="1" thickBot="1" x14ac:dyDescent="0.3">
      <c r="B20" s="258" t="s">
        <v>393</v>
      </c>
      <c r="C20" s="308"/>
      <c r="D20" s="308"/>
      <c r="E20" s="308"/>
      <c r="F20" s="308"/>
      <c r="G20" s="308"/>
      <c r="H20" s="315">
        <v>-521</v>
      </c>
      <c r="I20" s="315">
        <v>-643</v>
      </c>
      <c r="J20" s="315">
        <v>-1060</v>
      </c>
      <c r="K20" s="315">
        <v>-503</v>
      </c>
      <c r="L20" s="315">
        <v>-616</v>
      </c>
      <c r="N20" t="s">
        <v>412</v>
      </c>
      <c r="P20" s="32"/>
      <c r="Q20" s="32"/>
      <c r="R20" s="32"/>
      <c r="S20" s="32"/>
      <c r="T20" s="32"/>
    </row>
    <row r="21" spans="1:20" ht="16.5" thickTop="1" thickBot="1" x14ac:dyDescent="0.3">
      <c r="B21" s="7"/>
      <c r="C21" s="259"/>
      <c r="D21" s="259"/>
      <c r="E21" s="259"/>
      <c r="F21" s="259"/>
      <c r="G21" s="259"/>
      <c r="H21" s="259"/>
      <c r="I21" s="259"/>
      <c r="J21" s="259"/>
      <c r="K21" s="259"/>
      <c r="L21" s="259"/>
    </row>
    <row r="22" spans="1:20" ht="16.5" thickTop="1" thickBot="1" x14ac:dyDescent="0.3">
      <c r="B22" s="7" t="s">
        <v>394</v>
      </c>
      <c r="C22" s="316">
        <f t="shared" ref="C22:L22" si="2">SUM(C12:C20)</f>
        <v>3807</v>
      </c>
      <c r="D22" s="316">
        <f t="shared" si="2"/>
        <v>3606</v>
      </c>
      <c r="E22" s="316">
        <f t="shared" si="2"/>
        <v>1727</v>
      </c>
      <c r="F22" s="316">
        <f t="shared" si="2"/>
        <v>3759</v>
      </c>
      <c r="G22" s="316">
        <f t="shared" si="2"/>
        <v>4485</v>
      </c>
      <c r="H22" s="316">
        <f t="shared" si="2"/>
        <v>410.96205964594174</v>
      </c>
      <c r="I22" s="316">
        <f t="shared" si="2"/>
        <v>-985.132353280242</v>
      </c>
      <c r="J22" s="316">
        <f t="shared" si="2"/>
        <v>-1822.0042359820359</v>
      </c>
      <c r="K22" s="316">
        <f t="shared" si="2"/>
        <v>-774.81348706551069</v>
      </c>
      <c r="L22" s="316">
        <f t="shared" si="2"/>
        <v>-1173.6837399605763</v>
      </c>
    </row>
    <row r="23" spans="1:20" ht="16.5" thickTop="1" thickBot="1" x14ac:dyDescent="0.3">
      <c r="B23" s="7"/>
      <c r="C23" s="162"/>
      <c r="D23" s="162"/>
      <c r="E23" s="162"/>
      <c r="F23" s="162"/>
      <c r="G23" s="162"/>
      <c r="H23" s="162"/>
      <c r="I23" s="162"/>
      <c r="J23" s="162"/>
      <c r="K23" s="162"/>
      <c r="L23" s="162"/>
    </row>
    <row r="24" spans="1:20" ht="15.75" thickTop="1" x14ac:dyDescent="0.25">
      <c r="B24" t="s">
        <v>395</v>
      </c>
      <c r="C24" s="308"/>
      <c r="D24" s="308"/>
      <c r="E24" s="308"/>
      <c r="F24" s="308"/>
      <c r="G24" s="308"/>
      <c r="H24" s="322">
        <v>100</v>
      </c>
      <c r="I24" s="322">
        <v>100</v>
      </c>
      <c r="J24" s="322">
        <v>100</v>
      </c>
      <c r="K24" s="322">
        <v>100</v>
      </c>
      <c r="L24" s="322">
        <v>100</v>
      </c>
      <c r="P24" s="32"/>
      <c r="Q24" s="32"/>
      <c r="R24" s="32"/>
      <c r="S24" s="32"/>
      <c r="T24" s="32"/>
    </row>
    <row r="25" spans="1:20" s="31" customFormat="1" ht="15.75" thickBot="1" x14ac:dyDescent="0.3">
      <c r="B25" s="175" t="s">
        <v>396</v>
      </c>
      <c r="C25" s="176"/>
      <c r="D25" s="176"/>
      <c r="E25" s="176"/>
      <c r="F25" s="176"/>
      <c r="G25" s="176"/>
      <c r="H25" s="323">
        <f>H22-H24</f>
        <v>310.96205964594174</v>
      </c>
      <c r="I25" s="323">
        <f t="shared" ref="I25:L25" si="3">I22-I24</f>
        <v>-1085.1323532802421</v>
      </c>
      <c r="J25" s="323">
        <f t="shared" si="3"/>
        <v>-1922.0042359820359</v>
      </c>
      <c r="K25" s="323">
        <f t="shared" si="3"/>
        <v>-874.81348706551069</v>
      </c>
      <c r="L25" s="323">
        <f t="shared" si="3"/>
        <v>-1273.6837399605763</v>
      </c>
    </row>
    <row r="26" spans="1:20" ht="15.75" thickTop="1" x14ac:dyDescent="0.25">
      <c r="C26" s="162"/>
      <c r="D26" s="162"/>
      <c r="E26" s="162"/>
      <c r="F26" s="162"/>
      <c r="G26" s="162"/>
      <c r="H26" s="162"/>
      <c r="I26" s="162"/>
      <c r="J26" s="162"/>
      <c r="K26" s="162"/>
      <c r="L26" s="162"/>
      <c r="P26" s="32"/>
      <c r="Q26" s="273"/>
      <c r="R26" s="273"/>
      <c r="S26" s="273"/>
      <c r="T26" s="32"/>
    </row>
    <row r="27" spans="1:20" ht="15.75" thickBot="1" x14ac:dyDescent="0.3">
      <c r="B27" s="31" t="s">
        <v>397</v>
      </c>
      <c r="C27" s="162"/>
      <c r="D27" s="162"/>
      <c r="E27" s="162"/>
      <c r="F27" s="162"/>
      <c r="G27" s="162"/>
      <c r="H27" s="162"/>
      <c r="I27" s="162"/>
      <c r="J27" s="162"/>
      <c r="K27" s="162"/>
      <c r="L27" s="162"/>
    </row>
    <row r="28" spans="1:20" ht="16.5" thickTop="1" thickBot="1" x14ac:dyDescent="0.3">
      <c r="A28" s="31"/>
      <c r="B28" t="s">
        <v>358</v>
      </c>
      <c r="C28" s="308"/>
      <c r="D28" s="308"/>
      <c r="E28" s="308"/>
      <c r="F28" s="308"/>
      <c r="G28" s="308"/>
      <c r="H28" s="315">
        <v>0</v>
      </c>
      <c r="I28" s="316">
        <f>H31</f>
        <v>0</v>
      </c>
      <c r="J28" s="316">
        <f t="shared" ref="J28:L28" si="4">I31</f>
        <v>1085.1323532802421</v>
      </c>
      <c r="K28" s="316">
        <f t="shared" si="4"/>
        <v>3007.136589262278</v>
      </c>
      <c r="L28" s="316">
        <f t="shared" si="4"/>
        <v>3881.9500763277888</v>
      </c>
      <c r="P28" s="266"/>
      <c r="Q28" s="266"/>
      <c r="R28" s="266"/>
      <c r="S28" s="266"/>
      <c r="T28" s="266"/>
    </row>
    <row r="29" spans="1:20" ht="16.5" thickTop="1" thickBot="1" x14ac:dyDescent="0.3">
      <c r="B29" s="263" t="s">
        <v>398</v>
      </c>
      <c r="C29" s="308"/>
      <c r="D29" s="308"/>
      <c r="E29" s="308"/>
      <c r="F29" s="308"/>
      <c r="G29" s="308"/>
      <c r="H29" s="316">
        <f>IF(H25&gt;H24,0,H25)</f>
        <v>0</v>
      </c>
      <c r="I29" s="316">
        <f>-IF(I25&gt;I24,0,I25)</f>
        <v>1085.1323532802421</v>
      </c>
      <c r="J29" s="316">
        <f t="shared" ref="J29:L29" si="5">-IF(J25&gt;J24,0,J25)</f>
        <v>1922.0042359820359</v>
      </c>
      <c r="K29" s="316">
        <f t="shared" si="5"/>
        <v>874.81348706551069</v>
      </c>
      <c r="L29" s="316">
        <f t="shared" si="5"/>
        <v>1273.6837399605763</v>
      </c>
      <c r="P29" s="266"/>
      <c r="Q29" s="266"/>
      <c r="R29" s="266"/>
      <c r="S29" s="266"/>
      <c r="T29" s="266"/>
    </row>
    <row r="30" spans="1:20" ht="15.75" thickTop="1" x14ac:dyDescent="0.25">
      <c r="B30" s="263" t="s">
        <v>399</v>
      </c>
      <c r="C30" s="308"/>
      <c r="D30" s="308"/>
      <c r="E30" s="308"/>
      <c r="F30" s="308"/>
      <c r="G30" s="308"/>
      <c r="H30" s="318">
        <f>-MIN(H28+H29,MAX(H22-H24,0))</f>
        <v>0</v>
      </c>
      <c r="I30" s="318">
        <f t="shared" ref="I30:L30" si="6">-MIN(I28+I29,MAX(I22-I24,0))</f>
        <v>0</v>
      </c>
      <c r="J30" s="318">
        <f t="shared" si="6"/>
        <v>0</v>
      </c>
      <c r="K30" s="318">
        <f t="shared" si="6"/>
        <v>0</v>
      </c>
      <c r="L30" s="318">
        <f t="shared" si="6"/>
        <v>0</v>
      </c>
    </row>
    <row r="31" spans="1:20" ht="15.75" thickBot="1" x14ac:dyDescent="0.3">
      <c r="A31" s="31"/>
      <c r="B31" s="175" t="s">
        <v>362</v>
      </c>
      <c r="C31" s="309"/>
      <c r="D31" s="309"/>
      <c r="E31" s="309"/>
      <c r="F31" s="309"/>
      <c r="G31" s="309"/>
      <c r="H31" s="321">
        <f>SUM(H28:H30)</f>
        <v>0</v>
      </c>
      <c r="I31" s="321">
        <f t="shared" ref="I31:L31" si="7">SUM(I28:I30)</f>
        <v>1085.1323532802421</v>
      </c>
      <c r="J31" s="320">
        <f t="shared" si="7"/>
        <v>3007.136589262278</v>
      </c>
      <c r="K31" s="320">
        <f t="shared" si="7"/>
        <v>3881.9500763277888</v>
      </c>
      <c r="L31" s="320">
        <f t="shared" si="7"/>
        <v>5155.6338162883649</v>
      </c>
    </row>
    <row r="32" spans="1:20" ht="15.75" thickTop="1" x14ac:dyDescent="0.25">
      <c r="C32" s="162"/>
      <c r="D32" s="162"/>
      <c r="E32" s="162"/>
      <c r="F32" s="162"/>
      <c r="G32" s="162"/>
      <c r="H32" s="162"/>
      <c r="I32" s="162"/>
      <c r="J32" s="162"/>
      <c r="K32" s="162"/>
      <c r="L32" s="162"/>
    </row>
    <row r="33" spans="1:12" ht="15.75" thickBot="1" x14ac:dyDescent="0.3">
      <c r="B33" s="175" t="s">
        <v>410</v>
      </c>
      <c r="C33" s="309"/>
      <c r="D33" s="309"/>
      <c r="E33" s="309"/>
      <c r="F33" s="309"/>
      <c r="G33" s="309"/>
      <c r="H33" s="320">
        <f t="shared" ref="H33:J33" si="8">MAX(H22+H30,H24)</f>
        <v>410.96205964594174</v>
      </c>
      <c r="I33" s="320">
        <f t="shared" si="8"/>
        <v>100</v>
      </c>
      <c r="J33" s="320">
        <f t="shared" si="8"/>
        <v>100</v>
      </c>
      <c r="K33" s="320">
        <f>MAX(K22+K30,K24)</f>
        <v>100</v>
      </c>
      <c r="L33" s="320">
        <f t="shared" ref="L33" si="9">MAX(L22+L30,L24)</f>
        <v>100</v>
      </c>
    </row>
    <row r="34" spans="1:12" ht="15.75" thickTop="1" x14ac:dyDescent="0.25">
      <c r="C34" s="162"/>
      <c r="D34" s="162"/>
      <c r="E34" s="162"/>
      <c r="F34" s="162"/>
      <c r="G34" s="162"/>
      <c r="H34" s="162"/>
      <c r="I34" s="162"/>
      <c r="J34" s="162"/>
      <c r="K34" s="162"/>
      <c r="L34" s="162"/>
    </row>
    <row r="35" spans="1:12" hidden="1" x14ac:dyDescent="0.25">
      <c r="B35" t="s">
        <v>39</v>
      </c>
      <c r="C35" s="162"/>
      <c r="D35" s="162"/>
      <c r="E35" s="162"/>
      <c r="F35" s="162"/>
      <c r="G35" s="162"/>
      <c r="H35" s="340">
        <f>CFS!H55-H33</f>
        <v>0</v>
      </c>
      <c r="I35" s="340">
        <f>CFS!I55-I33</f>
        <v>4.5474735088646412E-13</v>
      </c>
      <c r="J35" s="340">
        <f>CFS!J55-J33</f>
        <v>4.5474735088646412E-13</v>
      </c>
      <c r="K35" s="340">
        <f>CFS!K55-K33</f>
        <v>4.5474735088646412E-13</v>
      </c>
      <c r="L35" s="340">
        <f>CFS!L55-L33</f>
        <v>4.5474735088646412E-13</v>
      </c>
    </row>
    <row r="36" spans="1:12" hidden="1" x14ac:dyDescent="0.25">
      <c r="C36" s="162"/>
      <c r="D36" s="162"/>
      <c r="E36" s="162"/>
      <c r="F36" s="162"/>
      <c r="G36" s="162"/>
      <c r="H36" s="162"/>
      <c r="I36" s="162"/>
      <c r="J36" s="162"/>
      <c r="K36" s="162"/>
      <c r="L36" s="162"/>
    </row>
    <row r="37" spans="1:12" ht="15.75" thickBot="1" x14ac:dyDescent="0.3">
      <c r="A37" s="81" t="s">
        <v>118</v>
      </c>
      <c r="B37" s="31" t="s">
        <v>559</v>
      </c>
      <c r="C37" s="162"/>
      <c r="D37" s="162"/>
      <c r="E37" s="162"/>
      <c r="F37" s="162"/>
      <c r="G37" s="162"/>
      <c r="H37" s="162"/>
      <c r="I37" s="162"/>
      <c r="J37" s="162"/>
      <c r="K37" s="162"/>
      <c r="L37" s="162"/>
    </row>
    <row r="38" spans="1:12" ht="16.5" thickTop="1" thickBot="1" x14ac:dyDescent="0.3">
      <c r="B38" t="s">
        <v>411</v>
      </c>
      <c r="C38" s="314">
        <f>BS!C37</f>
        <v>7334</v>
      </c>
      <c r="D38" s="314">
        <f>BS!D37</f>
        <v>7194</v>
      </c>
      <c r="E38" s="314">
        <f>BS!E37</f>
        <v>8741</v>
      </c>
      <c r="F38" s="314">
        <f>BS!F37</f>
        <v>8219</v>
      </c>
      <c r="G38" s="314">
        <f>BS!G37</f>
        <v>7289</v>
      </c>
      <c r="H38" s="316">
        <f>G42</f>
        <v>7289</v>
      </c>
      <c r="I38" s="316">
        <f t="shared" ref="I38:L38" si="10">H42</f>
        <v>7059</v>
      </c>
      <c r="J38" s="316">
        <f t="shared" si="10"/>
        <v>7501.1323532802417</v>
      </c>
      <c r="K38" s="316">
        <f t="shared" si="10"/>
        <v>8363.136589262278</v>
      </c>
      <c r="L38" s="316">
        <f t="shared" si="10"/>
        <v>8734.9500763277883</v>
      </c>
    </row>
    <row r="39" spans="1:12" ht="16.5" thickTop="1" thickBot="1" x14ac:dyDescent="0.3">
      <c r="B39" s="263" t="s">
        <v>413</v>
      </c>
      <c r="C39" s="308"/>
      <c r="D39" s="308"/>
      <c r="E39" s="308"/>
      <c r="F39" s="308"/>
      <c r="G39" s="308"/>
      <c r="H39" s="316">
        <v>-230</v>
      </c>
      <c r="I39" s="316">
        <f t="shared" ref="I39:L39" si="11">I20</f>
        <v>-643</v>
      </c>
      <c r="J39" s="316">
        <f t="shared" si="11"/>
        <v>-1060</v>
      </c>
      <c r="K39" s="316">
        <f t="shared" si="11"/>
        <v>-503</v>
      </c>
      <c r="L39" s="316">
        <f t="shared" si="11"/>
        <v>-616</v>
      </c>
    </row>
    <row r="40" spans="1:12" ht="16.5" thickTop="1" thickBot="1" x14ac:dyDescent="0.3">
      <c r="B40" s="263" t="s">
        <v>414</v>
      </c>
      <c r="C40" s="308"/>
      <c r="D40" s="308"/>
      <c r="E40" s="308"/>
      <c r="F40" s="308"/>
      <c r="G40" s="308"/>
      <c r="H40" s="316">
        <f>H30</f>
        <v>0</v>
      </c>
      <c r="I40" s="316">
        <f t="shared" ref="I40:L40" si="12">I30</f>
        <v>0</v>
      </c>
      <c r="J40" s="316">
        <f t="shared" si="12"/>
        <v>0</v>
      </c>
      <c r="K40" s="316">
        <f t="shared" si="12"/>
        <v>0</v>
      </c>
      <c r="L40" s="316">
        <f t="shared" si="12"/>
        <v>0</v>
      </c>
    </row>
    <row r="41" spans="1:12" ht="15.75" thickTop="1" x14ac:dyDescent="0.25">
      <c r="B41" s="263" t="s">
        <v>398</v>
      </c>
      <c r="C41" s="308"/>
      <c r="D41" s="308"/>
      <c r="E41" s="308"/>
      <c r="F41" s="308"/>
      <c r="G41" s="308"/>
      <c r="H41" s="318">
        <f>H29</f>
        <v>0</v>
      </c>
      <c r="I41" s="318">
        <f t="shared" ref="I41:L41" si="13">I29</f>
        <v>1085.1323532802421</v>
      </c>
      <c r="J41" s="318">
        <f t="shared" si="13"/>
        <v>1922.0042359820359</v>
      </c>
      <c r="K41" s="318">
        <f t="shared" si="13"/>
        <v>874.81348706551069</v>
      </c>
      <c r="L41" s="318">
        <f t="shared" si="13"/>
        <v>1273.6837399605763</v>
      </c>
    </row>
    <row r="42" spans="1:12" ht="15.75" thickBot="1" x14ac:dyDescent="0.3">
      <c r="B42" s="319" t="s">
        <v>415</v>
      </c>
      <c r="C42" s="320">
        <f>SUM(C38:C41)</f>
        <v>7334</v>
      </c>
      <c r="D42" s="320">
        <f t="shared" ref="D42:L42" si="14">SUM(D38:D41)</f>
        <v>7194</v>
      </c>
      <c r="E42" s="320">
        <f t="shared" si="14"/>
        <v>8741</v>
      </c>
      <c r="F42" s="320">
        <f t="shared" si="14"/>
        <v>8219</v>
      </c>
      <c r="G42" s="320">
        <f t="shared" si="14"/>
        <v>7289</v>
      </c>
      <c r="H42" s="320">
        <f t="shared" si="14"/>
        <v>7059</v>
      </c>
      <c r="I42" s="320">
        <f t="shared" si="14"/>
        <v>7501.1323532802417</v>
      </c>
      <c r="J42" s="320">
        <f t="shared" si="14"/>
        <v>8363.136589262278</v>
      </c>
      <c r="K42" s="320">
        <f t="shared" si="14"/>
        <v>8734.9500763277883</v>
      </c>
      <c r="L42" s="320">
        <f t="shared" si="14"/>
        <v>9392.633816288364</v>
      </c>
    </row>
    <row r="43" spans="1:12" ht="15.75" thickTop="1" x14ac:dyDescent="0.25">
      <c r="C43" s="162"/>
      <c r="D43" s="162"/>
      <c r="E43" s="162"/>
      <c r="F43" s="162"/>
      <c r="G43" s="162"/>
      <c r="H43" s="162"/>
      <c r="I43" s="162"/>
      <c r="J43" s="162"/>
      <c r="K43" s="162"/>
      <c r="L43" s="162"/>
    </row>
    <row r="44" spans="1:12" x14ac:dyDescent="0.25">
      <c r="A44" s="81" t="s">
        <v>119</v>
      </c>
      <c r="B44" s="31" t="s">
        <v>557</v>
      </c>
      <c r="C44" s="162"/>
      <c r="D44" s="162"/>
      <c r="E44" s="162"/>
      <c r="F44" s="162"/>
      <c r="G44" s="162"/>
      <c r="H44" s="162"/>
      <c r="I44" s="162"/>
      <c r="J44" s="162"/>
      <c r="K44" s="162"/>
      <c r="L44" s="162"/>
    </row>
    <row r="45" spans="1:12" x14ac:dyDescent="0.25">
      <c r="B45" t="s">
        <v>400</v>
      </c>
      <c r="C45" s="310">
        <f>C47-C46</f>
        <v>183</v>
      </c>
      <c r="D45" s="310">
        <f t="shared" ref="D45:G45" si="15">D47-D46</f>
        <v>192</v>
      </c>
      <c r="E45" s="310">
        <f t="shared" si="15"/>
        <v>167</v>
      </c>
      <c r="F45" s="310">
        <f t="shared" si="15"/>
        <v>287</v>
      </c>
      <c r="G45" s="310">
        <f t="shared" si="15"/>
        <v>292</v>
      </c>
      <c r="H45" s="310">
        <v>265</v>
      </c>
      <c r="I45" s="310">
        <v>215</v>
      </c>
      <c r="J45" s="310">
        <v>181</v>
      </c>
      <c r="K45" s="310">
        <v>167</v>
      </c>
      <c r="L45" s="310">
        <v>141</v>
      </c>
    </row>
    <row r="46" spans="1:12" x14ac:dyDescent="0.25">
      <c r="B46" t="s">
        <v>401</v>
      </c>
      <c r="C46" s="311">
        <v>-19</v>
      </c>
      <c r="D46" s="311">
        <v>-17</v>
      </c>
      <c r="E46" s="311">
        <v>-14</v>
      </c>
      <c r="F46" s="311">
        <v>-55</v>
      </c>
      <c r="G46" s="311">
        <v>-67</v>
      </c>
      <c r="H46" s="310">
        <f>MEDIAN(C46:G46)</f>
        <v>-19</v>
      </c>
      <c r="I46" s="310">
        <f>$H$46</f>
        <v>-19</v>
      </c>
      <c r="J46" s="310">
        <f t="shared" ref="J46:L46" si="16">$H$46</f>
        <v>-19</v>
      </c>
      <c r="K46" s="310">
        <f t="shared" si="16"/>
        <v>-19</v>
      </c>
      <c r="L46" s="310">
        <f t="shared" si="16"/>
        <v>-19</v>
      </c>
    </row>
    <row r="47" spans="1:12" ht="15.75" thickBot="1" x14ac:dyDescent="0.3">
      <c r="A47" s="29"/>
      <c r="B47" s="175" t="s">
        <v>402</v>
      </c>
      <c r="C47" s="313">
        <f>IS!C19</f>
        <v>164</v>
      </c>
      <c r="D47" s="313">
        <f>IS!D19</f>
        <v>175</v>
      </c>
      <c r="E47" s="313">
        <f>IS!E19</f>
        <v>153</v>
      </c>
      <c r="F47" s="313">
        <f>IS!F19</f>
        <v>232</v>
      </c>
      <c r="G47" s="313">
        <f>IS!G19</f>
        <v>225</v>
      </c>
      <c r="H47" s="312">
        <f>SUM(H45:H46)</f>
        <v>246</v>
      </c>
      <c r="I47" s="312">
        <f t="shared" ref="I47:L47" si="17">SUM(I45:I46)</f>
        <v>196</v>
      </c>
      <c r="J47" s="312">
        <f t="shared" si="17"/>
        <v>162</v>
      </c>
      <c r="K47" s="312">
        <f t="shared" si="17"/>
        <v>148</v>
      </c>
      <c r="L47" s="312">
        <f t="shared" si="17"/>
        <v>122</v>
      </c>
    </row>
    <row r="48" spans="1:12" ht="15.75" thickTop="1" x14ac:dyDescent="0.25">
      <c r="A48" s="29"/>
    </row>
    <row r="49" spans="2:17" x14ac:dyDescent="0.25">
      <c r="B49" s="23" t="s">
        <v>22</v>
      </c>
      <c r="Q49" s="178"/>
    </row>
    <row r="50" spans="2:17" x14ac:dyDescent="0.25">
      <c r="B50" t="s">
        <v>23</v>
      </c>
      <c r="Q50" s="178"/>
    </row>
  </sheetData>
  <mergeCells count="2">
    <mergeCell ref="C10:G10"/>
    <mergeCell ref="H10:L10"/>
  </mergeCells>
  <pageMargins left="0.7" right="0.7" top="0.75" bottom="0.75" header="0.3" footer="0.3"/>
  <pageSetup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850D6-F863-4345-9CAF-086802DC9386}">
  <sheetPr>
    <tabColor rgb="FFC00000"/>
  </sheetPr>
  <dimension ref="A1"/>
  <sheetViews>
    <sheetView view="pageBreakPreview" zoomScale="80" zoomScaleNormal="100" zoomScaleSheetLayoutView="80" workbookViewId="0"/>
  </sheetViews>
  <sheetFormatPr defaultRowHeight="15" x14ac:dyDescent="0.25"/>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8DA1-0EE8-487D-BC0D-A69740E2A49B}">
  <dimension ref="A1:Q79"/>
  <sheetViews>
    <sheetView showGridLines="0" tabSelected="1" view="pageBreakPreview" topLeftCell="A15" zoomScale="80" zoomScaleNormal="100" zoomScaleSheetLayoutView="80" workbookViewId="0">
      <selection activeCell="H36" sqref="H36:L36"/>
    </sheetView>
  </sheetViews>
  <sheetFormatPr defaultRowHeight="15" x14ac:dyDescent="0.25"/>
  <cols>
    <col min="1" max="1" width="6.7109375" bestFit="1" customWidth="1"/>
    <col min="2" max="2" width="44.28515625" bestFit="1" customWidth="1"/>
    <col min="3" max="12" width="13.7109375" customWidth="1"/>
    <col min="13" max="13" width="3" bestFit="1" customWidth="1"/>
    <col min="14" max="14" width="11.5703125" bestFit="1" customWidth="1"/>
  </cols>
  <sheetData>
    <row r="1" spans="1:17" x14ac:dyDescent="0.25">
      <c r="P1" s="8"/>
      <c r="Q1" s="156"/>
    </row>
    <row r="7" spans="1:17" x14ac:dyDescent="0.25">
      <c r="A7" s="31"/>
    </row>
    <row r="8" spans="1:17" x14ac:dyDescent="0.25">
      <c r="A8" s="31"/>
    </row>
    <row r="9" spans="1:17" x14ac:dyDescent="0.25">
      <c r="B9" s="31" t="s">
        <v>563</v>
      </c>
    </row>
    <row r="10" spans="1:17" ht="15.75" thickBot="1" x14ac:dyDescent="0.3">
      <c r="B10" s="401" t="s">
        <v>564</v>
      </c>
      <c r="C10" s="411" t="s">
        <v>568</v>
      </c>
    </row>
    <row r="11" spans="1:17" ht="16.5" thickTop="1" thickBot="1" x14ac:dyDescent="0.3">
      <c r="B11" s="402" t="s">
        <v>450</v>
      </c>
      <c r="C11" s="412" t="s">
        <v>451</v>
      </c>
    </row>
    <row r="12" spans="1:17" ht="16.5" thickTop="1" thickBot="1" x14ac:dyDescent="0.3">
      <c r="B12" s="402" t="s">
        <v>519</v>
      </c>
      <c r="C12" s="413">
        <f>WACC!$I$25</f>
        <v>4.1548081496784101E-2</v>
      </c>
    </row>
    <row r="13" spans="1:17" ht="16.5" thickTop="1" thickBot="1" x14ac:dyDescent="0.3">
      <c r="B13" s="402" t="s">
        <v>565</v>
      </c>
      <c r="C13" s="413">
        <f>'IS Assumptions'!$H$44</f>
        <v>0.24489214077221</v>
      </c>
    </row>
    <row r="14" spans="1:17" ht="16.5" thickTop="1" thickBot="1" x14ac:dyDescent="0.3">
      <c r="B14" s="402" t="s">
        <v>566</v>
      </c>
      <c r="C14" s="413">
        <f>2.7%/2</f>
        <v>1.3500000000000002E-2</v>
      </c>
    </row>
    <row r="15" spans="1:17" ht="15.75" thickTop="1" x14ac:dyDescent="0.25">
      <c r="B15" s="403" t="s">
        <v>567</v>
      </c>
      <c r="C15" s="414">
        <v>5.0000000000000001E-3</v>
      </c>
    </row>
    <row r="16" spans="1:17" ht="15.75" thickBot="1" x14ac:dyDescent="0.3"/>
    <row r="17" spans="1:14" ht="18.75" thickTop="1" thickBot="1" x14ac:dyDescent="0.3">
      <c r="B17" s="12" t="s">
        <v>20</v>
      </c>
      <c r="C17" s="666" t="s">
        <v>21</v>
      </c>
      <c r="D17" s="666"/>
      <c r="E17" s="666"/>
      <c r="F17" s="666"/>
      <c r="G17" s="666"/>
      <c r="H17" s="666" t="s">
        <v>67</v>
      </c>
      <c r="I17" s="666"/>
      <c r="J17" s="666"/>
      <c r="K17" s="666"/>
      <c r="L17" s="666"/>
    </row>
    <row r="18" spans="1:14" ht="16.5" thickTop="1" thickBot="1" x14ac:dyDescent="0.3">
      <c r="B18" s="13"/>
      <c r="C18" s="128">
        <v>2020</v>
      </c>
      <c r="D18" s="128">
        <f>C18+1</f>
        <v>2021</v>
      </c>
      <c r="E18" s="128">
        <f t="shared" ref="E18:L18" si="0">D18+1</f>
        <v>2022</v>
      </c>
      <c r="F18" s="128">
        <f t="shared" si="0"/>
        <v>2023</v>
      </c>
      <c r="G18" s="128">
        <f t="shared" si="0"/>
        <v>2024</v>
      </c>
      <c r="H18" s="129">
        <f t="shared" si="0"/>
        <v>2025</v>
      </c>
      <c r="I18" s="129">
        <f t="shared" si="0"/>
        <v>2026</v>
      </c>
      <c r="J18" s="129">
        <f t="shared" si="0"/>
        <v>2027</v>
      </c>
      <c r="K18" s="129">
        <f t="shared" si="0"/>
        <v>2028</v>
      </c>
      <c r="L18" s="129">
        <f t="shared" si="0"/>
        <v>2029</v>
      </c>
    </row>
    <row r="19" spans="1:14" ht="16.5" thickTop="1" thickBot="1" x14ac:dyDescent="0.3">
      <c r="M19" s="384"/>
    </row>
    <row r="20" spans="1:14" ht="16.5" thickTop="1" thickBot="1" x14ac:dyDescent="0.3">
      <c r="A20" s="31"/>
      <c r="B20" s="31" t="s">
        <v>453</v>
      </c>
      <c r="C20" s="314">
        <f>IS!C20+IS!C19+CFS!C14</f>
        <v>4350</v>
      </c>
      <c r="D20" s="314">
        <f>IS!D20+IS!D19+CFS!D14</f>
        <v>3818</v>
      </c>
      <c r="E20" s="314">
        <f>IS!E20+IS!E19+CFS!E14</f>
        <v>3358</v>
      </c>
      <c r="F20" s="314">
        <f>IS!F20+IS!F19+CFS!F14</f>
        <v>4191</v>
      </c>
      <c r="G20" s="314">
        <f>IS!G20+IS!G19+CFS!G14</f>
        <v>4786</v>
      </c>
      <c r="H20" s="314">
        <f>IS!H20+IS!H19+CFS!H14</f>
        <v>4848.2356409527092</v>
      </c>
      <c r="I20" s="314">
        <f>IS!I20+IS!I19+CFS!I14</f>
        <v>5139.6511826205551</v>
      </c>
      <c r="J20" s="314">
        <f>IS!J20+IS!J19+CFS!J14</f>
        <v>5411.7225095418098</v>
      </c>
      <c r="K20" s="314">
        <f>IS!K20+IS!K19+CFS!K14</f>
        <v>5989.4309047031848</v>
      </c>
      <c r="L20" s="314">
        <f>IS!L20+IS!L19+CFS!L14</f>
        <v>6600.0150539321257</v>
      </c>
    </row>
    <row r="21" spans="1:14" ht="15.75" thickTop="1" x14ac:dyDescent="0.25">
      <c r="A21" s="31"/>
      <c r="B21" s="75" t="s">
        <v>454</v>
      </c>
      <c r="C21" s="363">
        <f>CFS!C14</f>
        <v>539</v>
      </c>
      <c r="D21" s="363">
        <f>CFS!D14</f>
        <v>556</v>
      </c>
      <c r="E21" s="363">
        <f>CFS!E14</f>
        <v>545</v>
      </c>
      <c r="F21" s="363">
        <f>CFS!F14</f>
        <v>567</v>
      </c>
      <c r="G21" s="363">
        <f>CFS!G14</f>
        <v>605</v>
      </c>
      <c r="H21" s="363">
        <f>CFS!H14</f>
        <v>337.85171326669752</v>
      </c>
      <c r="I21" s="363">
        <f>CFS!I14</f>
        <v>370.97456285422413</v>
      </c>
      <c r="J21" s="363">
        <f>CFS!J14</f>
        <v>318.49715051101066</v>
      </c>
      <c r="K21" s="363">
        <f>CFS!K14</f>
        <v>406.1770969966683</v>
      </c>
      <c r="L21" s="363">
        <f>CFS!L14</f>
        <v>371.47084795934188</v>
      </c>
    </row>
    <row r="22" spans="1:14" ht="15.75" thickBot="1" x14ac:dyDescent="0.3">
      <c r="A22" s="31"/>
      <c r="B22" s="529" t="s">
        <v>455</v>
      </c>
      <c r="C22" s="387">
        <f>C20-C21</f>
        <v>3811</v>
      </c>
      <c r="D22" s="387">
        <f t="shared" ref="D22:L22" si="1">D20-D21</f>
        <v>3262</v>
      </c>
      <c r="E22" s="387">
        <f t="shared" si="1"/>
        <v>2813</v>
      </c>
      <c r="F22" s="387">
        <f t="shared" si="1"/>
        <v>3624</v>
      </c>
      <c r="G22" s="387">
        <f t="shared" si="1"/>
        <v>4181</v>
      </c>
      <c r="H22" s="387">
        <f t="shared" si="1"/>
        <v>4510.3839276860117</v>
      </c>
      <c r="I22" s="387">
        <f t="shared" si="1"/>
        <v>4768.676619766331</v>
      </c>
      <c r="J22" s="387">
        <f t="shared" si="1"/>
        <v>5093.2253590307992</v>
      </c>
      <c r="K22" s="387">
        <f t="shared" si="1"/>
        <v>5583.2538077065165</v>
      </c>
      <c r="L22" s="387">
        <f t="shared" si="1"/>
        <v>6228.5442059727839</v>
      </c>
    </row>
    <row r="23" spans="1:14" ht="15.75" thickTop="1" x14ac:dyDescent="0.25">
      <c r="A23" s="31"/>
      <c r="B23" s="75" t="s">
        <v>456</v>
      </c>
      <c r="C23" s="363">
        <f>IS!C21</f>
        <v>787</v>
      </c>
      <c r="D23" s="363">
        <f>IS!D21</f>
        <v>749</v>
      </c>
      <c r="E23" s="363">
        <f>IS!E21</f>
        <v>693</v>
      </c>
      <c r="F23" s="363">
        <f>IS!F21</f>
        <v>937</v>
      </c>
      <c r="G23" s="363">
        <f>IS!G21</f>
        <v>907</v>
      </c>
      <c r="H23" s="363">
        <f>$C13*H22</f>
        <v>1104.5575757555962</v>
      </c>
      <c r="I23" s="363">
        <f t="shared" ref="I23:L23" si="2">$C13*I22</f>
        <v>1167.8114260649629</v>
      </c>
      <c r="J23" s="363">
        <f t="shared" si="2"/>
        <v>1247.2908616083603</v>
      </c>
      <c r="K23" s="363">
        <f t="shared" si="2"/>
        <v>1367.2949774438416</v>
      </c>
      <c r="L23" s="363">
        <f t="shared" si="2"/>
        <v>1525.32152449502</v>
      </c>
    </row>
    <row r="24" spans="1:14" ht="15.75" thickBot="1" x14ac:dyDescent="0.3">
      <c r="A24" s="31"/>
      <c r="B24" s="529" t="s">
        <v>457</v>
      </c>
      <c r="C24" s="387">
        <f>C22-C23</f>
        <v>3024</v>
      </c>
      <c r="D24" s="387">
        <f t="shared" ref="D24:L24" si="3">D22-D23</f>
        <v>2513</v>
      </c>
      <c r="E24" s="387">
        <f t="shared" si="3"/>
        <v>2120</v>
      </c>
      <c r="F24" s="387">
        <f t="shared" si="3"/>
        <v>2687</v>
      </c>
      <c r="G24" s="387">
        <f t="shared" si="3"/>
        <v>3274</v>
      </c>
      <c r="H24" s="387">
        <f t="shared" si="3"/>
        <v>3405.8263519304155</v>
      </c>
      <c r="I24" s="387">
        <f t="shared" si="3"/>
        <v>3600.8651937013683</v>
      </c>
      <c r="J24" s="387">
        <f t="shared" si="3"/>
        <v>3845.9344974224387</v>
      </c>
      <c r="K24" s="387">
        <f t="shared" si="3"/>
        <v>4215.9588302626744</v>
      </c>
      <c r="L24" s="387">
        <f t="shared" si="3"/>
        <v>4703.2226814777641</v>
      </c>
    </row>
    <row r="25" spans="1:14" ht="16.5" thickTop="1" thickBot="1" x14ac:dyDescent="0.3">
      <c r="A25" s="31"/>
      <c r="B25" s="75" t="s">
        <v>458</v>
      </c>
      <c r="C25" s="316">
        <f>C21</f>
        <v>539</v>
      </c>
      <c r="D25" s="316">
        <f t="shared" ref="D25:L25" si="4">D21</f>
        <v>556</v>
      </c>
      <c r="E25" s="316">
        <f t="shared" si="4"/>
        <v>545</v>
      </c>
      <c r="F25" s="316">
        <f t="shared" si="4"/>
        <v>567</v>
      </c>
      <c r="G25" s="316">
        <f t="shared" si="4"/>
        <v>605</v>
      </c>
      <c r="H25" s="316">
        <f t="shared" si="4"/>
        <v>337.85171326669752</v>
      </c>
      <c r="I25" s="316">
        <f t="shared" si="4"/>
        <v>370.97456285422413</v>
      </c>
      <c r="J25" s="316">
        <f t="shared" si="4"/>
        <v>318.49715051101066</v>
      </c>
      <c r="K25" s="316">
        <f t="shared" si="4"/>
        <v>406.1770969966683</v>
      </c>
      <c r="L25" s="316">
        <f t="shared" si="4"/>
        <v>371.47084795934188</v>
      </c>
    </row>
    <row r="26" spans="1:14" ht="16.5" thickTop="1" thickBot="1" x14ac:dyDescent="0.3">
      <c r="B26" s="75" t="s">
        <v>459</v>
      </c>
      <c r="C26" s="316">
        <f>SUM(CFS!C24:C27)</f>
        <v>407</v>
      </c>
      <c r="D26" s="316">
        <f>SUM(CFS!D24:D27)</f>
        <v>-142</v>
      </c>
      <c r="E26" s="316">
        <f>SUM(CFS!E24:E27)</f>
        <v>-675</v>
      </c>
      <c r="F26" s="316">
        <f>SUM(CFS!F24:F27)</f>
        <v>466</v>
      </c>
      <c r="G26" s="316">
        <f>SUM(CFS!G24:G27)</f>
        <v>360</v>
      </c>
      <c r="H26" s="316">
        <f>SUM(CFS!H24:H27)</f>
        <v>-411.70899233487319</v>
      </c>
      <c r="I26" s="316">
        <f>SUM(CFS!I24:I27)</f>
        <v>-65.497403190528416</v>
      </c>
      <c r="J26" s="316">
        <f>SUM(CFS!J24:J27)</f>
        <v>-23.181460403113647</v>
      </c>
      <c r="K26" s="316">
        <f>SUM(CFS!K24:K27)</f>
        <v>202.83529718970362</v>
      </c>
      <c r="L26" s="316">
        <f>SUM(CFS!L24:L27)</f>
        <v>167.87147922950908</v>
      </c>
    </row>
    <row r="27" spans="1:14" ht="16.5" thickTop="1" thickBot="1" x14ac:dyDescent="0.3">
      <c r="A27" s="31"/>
      <c r="B27" s="75" t="s">
        <v>460</v>
      </c>
      <c r="C27" s="314">
        <f>-CFS!C32</f>
        <v>410</v>
      </c>
      <c r="D27" s="314">
        <f>-CFS!D32</f>
        <v>567</v>
      </c>
      <c r="E27" s="314">
        <f>-CFS!E32</f>
        <v>696</v>
      </c>
      <c r="F27" s="314">
        <f>-CFS!F32</f>
        <v>705</v>
      </c>
      <c r="G27" s="314">
        <f>-CFS!G32</f>
        <v>561</v>
      </c>
      <c r="H27" s="314">
        <f>-CFS!H32</f>
        <v>693.72491316926187</v>
      </c>
      <c r="I27" s="314">
        <f>-CFS!I32</f>
        <v>783.47970480238837</v>
      </c>
      <c r="J27" s="314">
        <f>-CFS!J32</f>
        <v>855.08751117706993</v>
      </c>
      <c r="K27" s="314">
        <f>-CFS!K32</f>
        <v>905.67765474870225</v>
      </c>
      <c r="L27" s="314">
        <f>-CFS!L32</f>
        <v>973.6781078080777</v>
      </c>
    </row>
    <row r="28" spans="1:14" ht="16.5" thickTop="1" thickBot="1" x14ac:dyDescent="0.3">
      <c r="A28" s="31"/>
      <c r="B28" s="75" t="s">
        <v>461</v>
      </c>
      <c r="C28" s="314">
        <f>'BS Assumptions '!C51</f>
        <v>160</v>
      </c>
      <c r="D28" s="314">
        <f>'BS Assumptions '!D51</f>
        <v>0</v>
      </c>
      <c r="E28" s="314">
        <f>'BS Assumptions '!E51</f>
        <v>0</v>
      </c>
      <c r="F28" s="314">
        <f>'BS Assumptions '!F51</f>
        <v>0</v>
      </c>
      <c r="G28" s="314">
        <f>'BS Assumptions '!G51</f>
        <v>0</v>
      </c>
      <c r="H28" s="314">
        <f>'BS Assumptions '!H51</f>
        <v>0</v>
      </c>
      <c r="I28" s="314">
        <f>'BS Assumptions '!I51</f>
        <v>0</v>
      </c>
      <c r="J28" s="314">
        <f>'BS Assumptions '!J51</f>
        <v>0</v>
      </c>
      <c r="K28" s="314">
        <f>'BS Assumptions '!K51</f>
        <v>0</v>
      </c>
      <c r="L28" s="314">
        <f>'BS Assumptions '!L51</f>
        <v>0</v>
      </c>
      <c r="N28" t="s">
        <v>462</v>
      </c>
    </row>
    <row r="29" spans="1:14" ht="15.75" thickTop="1" x14ac:dyDescent="0.25">
      <c r="B29" s="75" t="s">
        <v>463</v>
      </c>
      <c r="C29" s="318">
        <f>SUM(CFS!C33:C37)-C28</f>
        <v>-529</v>
      </c>
      <c r="D29" s="318">
        <f>SUM(CFS!D33:D37)-D28</f>
        <v>-25</v>
      </c>
      <c r="E29" s="318">
        <f>SUM(CFS!E33:E37)-E28</f>
        <v>-905</v>
      </c>
      <c r="F29" s="318">
        <f>SUM(CFS!F33:F37)-F28</f>
        <v>-37</v>
      </c>
      <c r="G29" s="318">
        <f>SUM(CFS!G33:G37)-G28</f>
        <v>27</v>
      </c>
      <c r="H29" s="318">
        <f>SUM(CFS!H33:H37)-H28</f>
        <v>0</v>
      </c>
      <c r="I29" s="318">
        <f>SUM(CFS!I33:I37)-I28</f>
        <v>0</v>
      </c>
      <c r="J29" s="318">
        <f>SUM(CFS!J33:J37)-J28</f>
        <v>0</v>
      </c>
      <c r="K29" s="318">
        <f>SUM(CFS!K33:K37)-K28</f>
        <v>0</v>
      </c>
      <c r="L29" s="318">
        <f>SUM(CFS!L33:L37)-L28</f>
        <v>0</v>
      </c>
      <c r="N29" t="s">
        <v>464</v>
      </c>
    </row>
    <row r="30" spans="1:14" ht="15.75" thickBot="1" x14ac:dyDescent="0.3">
      <c r="B30" s="529" t="s">
        <v>610</v>
      </c>
      <c r="C30" s="387">
        <f>SUM(C24:C29)</f>
        <v>4011</v>
      </c>
      <c r="D30" s="387">
        <f t="shared" ref="D30:L30" si="5">SUM(D24:D29)</f>
        <v>3469</v>
      </c>
      <c r="E30" s="387">
        <f t="shared" si="5"/>
        <v>1781</v>
      </c>
      <c r="F30" s="387">
        <f t="shared" si="5"/>
        <v>4388</v>
      </c>
      <c r="G30" s="387">
        <f t="shared" si="5"/>
        <v>4827</v>
      </c>
      <c r="H30" s="387">
        <f t="shared" si="5"/>
        <v>4025.6939860315019</v>
      </c>
      <c r="I30" s="387">
        <f t="shared" si="5"/>
        <v>4689.8220581674523</v>
      </c>
      <c r="J30" s="387">
        <f t="shared" si="5"/>
        <v>4996.3376987074062</v>
      </c>
      <c r="K30" s="387">
        <f t="shared" si="5"/>
        <v>5730.648879197749</v>
      </c>
      <c r="L30" s="387">
        <f t="shared" si="5"/>
        <v>6216.2431164746931</v>
      </c>
    </row>
    <row r="31" spans="1:14" s="29" customFormat="1" ht="16.5" thickTop="1" thickBot="1" x14ac:dyDescent="0.3">
      <c r="B31" s="29" t="s">
        <v>465</v>
      </c>
      <c r="C31" s="547"/>
      <c r="D31" s="548">
        <f>D30/C30-1</f>
        <v>-0.13512839690850165</v>
      </c>
      <c r="E31" s="548">
        <f t="shared" ref="E31:L31" si="6">E30/D30-1</f>
        <v>-0.48659556068031129</v>
      </c>
      <c r="F31" s="548">
        <f t="shared" si="6"/>
        <v>1.4637843907916901</v>
      </c>
      <c r="G31" s="548">
        <f t="shared" si="6"/>
        <v>0.10004557885141296</v>
      </c>
      <c r="H31" s="548">
        <f t="shared" si="6"/>
        <v>-0.16600497492614419</v>
      </c>
      <c r="I31" s="548">
        <f t="shared" si="6"/>
        <v>0.16497231891951203</v>
      </c>
      <c r="J31" s="548">
        <f t="shared" si="6"/>
        <v>6.5357626950077741E-2</v>
      </c>
      <c r="K31" s="548">
        <f t="shared" si="6"/>
        <v>0.14696988569854175</v>
      </c>
      <c r="L31" s="548">
        <f t="shared" si="6"/>
        <v>8.4736344437302824E-2</v>
      </c>
    </row>
    <row r="32" spans="1:14" ht="16.5" thickTop="1" thickBot="1" x14ac:dyDescent="0.3">
      <c r="C32" s="162"/>
      <c r="D32" s="162"/>
      <c r="E32" s="162"/>
      <c r="F32" s="162"/>
      <c r="G32" s="162"/>
      <c r="H32" s="162"/>
      <c r="I32" s="162"/>
      <c r="J32" s="162"/>
      <c r="K32" s="162"/>
      <c r="L32" s="162"/>
    </row>
    <row r="33" spans="1:14" ht="16.5" thickTop="1" thickBot="1" x14ac:dyDescent="0.3">
      <c r="B33" t="s">
        <v>466</v>
      </c>
      <c r="C33" s="287"/>
      <c r="D33" s="260"/>
      <c r="E33" s="260"/>
      <c r="F33" s="260"/>
      <c r="G33" s="260"/>
      <c r="H33" s="362">
        <f>YEARFRAC(C11,C10)</f>
        <v>0.54722222222222228</v>
      </c>
      <c r="I33" s="316">
        <v>1</v>
      </c>
      <c r="J33" s="315">
        <v>1</v>
      </c>
      <c r="K33" s="315">
        <v>1</v>
      </c>
      <c r="L33" s="315">
        <v>1</v>
      </c>
    </row>
    <row r="34" spans="1:14" ht="16.5" thickTop="1" thickBot="1" x14ac:dyDescent="0.3">
      <c r="B34" t="s">
        <v>467</v>
      </c>
      <c r="C34" s="288"/>
      <c r="D34" s="288"/>
      <c r="E34" s="288"/>
      <c r="F34" s="288"/>
      <c r="G34" s="288"/>
      <c r="H34" s="380">
        <f>H33/2</f>
        <v>0.27361111111111114</v>
      </c>
      <c r="I34" s="380">
        <f>H34*2</f>
        <v>0.54722222222222228</v>
      </c>
      <c r="J34" s="386">
        <v>1</v>
      </c>
      <c r="K34" s="380">
        <f>J34</f>
        <v>1</v>
      </c>
      <c r="L34" s="380">
        <f>K34</f>
        <v>1</v>
      </c>
    </row>
    <row r="35" spans="1:14" ht="16.5" thickTop="1" thickBot="1" x14ac:dyDescent="0.3">
      <c r="B35" t="s">
        <v>468</v>
      </c>
      <c r="C35" s="288"/>
      <c r="D35" s="288"/>
      <c r="E35" s="288"/>
      <c r="F35" s="288"/>
      <c r="G35" s="288"/>
      <c r="H35" s="380">
        <f>H34</f>
        <v>0.27361111111111114</v>
      </c>
      <c r="I35" s="380">
        <f>I34+0.5</f>
        <v>1.0472222222222223</v>
      </c>
      <c r="J35" s="380">
        <f>I35+J34</f>
        <v>2.0472222222222225</v>
      </c>
      <c r="K35" s="380">
        <f t="shared" ref="K35:L35" si="7">J35+K34</f>
        <v>3.0472222222222225</v>
      </c>
      <c r="L35" s="380">
        <f t="shared" si="7"/>
        <v>4.0472222222222225</v>
      </c>
    </row>
    <row r="36" spans="1:14" ht="16.5" thickTop="1" thickBot="1" x14ac:dyDescent="0.3">
      <c r="B36" t="s">
        <v>469</v>
      </c>
      <c r="C36" s="381">
        <f>$C$12</f>
        <v>4.1548081496784101E-2</v>
      </c>
      <c r="D36" s="288"/>
      <c r="E36" s="288"/>
      <c r="F36" s="288"/>
      <c r="G36" s="288"/>
      <c r="H36" s="388">
        <f>1/(1+$C$36)^H35</f>
        <v>0.98892359896807547</v>
      </c>
      <c r="I36" s="388">
        <f t="shared" ref="I36:L36" si="8">1/(1+$C$36)^I35</f>
        <v>0.95826542729281827</v>
      </c>
      <c r="J36" s="388">
        <f t="shared" si="8"/>
        <v>0.9200395491254878</v>
      </c>
      <c r="K36" s="388">
        <f t="shared" si="8"/>
        <v>0.88333852797589607</v>
      </c>
      <c r="L36" s="388">
        <f t="shared" si="8"/>
        <v>0.84810153623102169</v>
      </c>
    </row>
    <row r="37" spans="1:14" ht="16.5" thickTop="1" thickBot="1" x14ac:dyDescent="0.3">
      <c r="A37" s="31"/>
      <c r="B37" s="31" t="s">
        <v>470</v>
      </c>
      <c r="C37" s="288"/>
      <c r="D37" s="288"/>
      <c r="E37" s="288"/>
      <c r="F37" s="288"/>
      <c r="G37" s="288"/>
      <c r="H37" s="389">
        <f>H36*H30</f>
        <v>3981.1037850104103</v>
      </c>
      <c r="I37" s="389">
        <f t="shared" ref="I37:L37" si="9">I36*I30</f>
        <v>4494.0943384971179</v>
      </c>
      <c r="J37" s="389">
        <f t="shared" si="9"/>
        <v>4596.8282835974396</v>
      </c>
      <c r="K37" s="389">
        <f t="shared" si="9"/>
        <v>5062.102945297258</v>
      </c>
      <c r="L37" s="389">
        <f t="shared" si="9"/>
        <v>5272.0053366677012</v>
      </c>
      <c r="M37" s="31"/>
      <c r="N37" s="31"/>
    </row>
    <row r="38" spans="1:14" ht="15.75" thickTop="1" x14ac:dyDescent="0.25">
      <c r="C38" s="162"/>
      <c r="D38" s="162"/>
      <c r="E38" s="162"/>
      <c r="F38" s="162"/>
      <c r="G38" s="162"/>
      <c r="H38" s="162"/>
      <c r="I38" s="162"/>
      <c r="J38" s="162"/>
      <c r="K38" s="162"/>
      <c r="L38" s="162"/>
    </row>
    <row r="39" spans="1:14" x14ac:dyDescent="0.25">
      <c r="B39" t="s">
        <v>471</v>
      </c>
      <c r="C39" s="374">
        <f>SUM(H37:L37)</f>
        <v>23406.134689069928</v>
      </c>
      <c r="F39" s="162"/>
      <c r="G39" s="162"/>
      <c r="L39" s="162"/>
    </row>
    <row r="40" spans="1:14" x14ac:dyDescent="0.25">
      <c r="A40" s="31"/>
      <c r="F40" s="162"/>
      <c r="G40" s="162"/>
      <c r="L40" s="162"/>
    </row>
    <row r="41" spans="1:14" x14ac:dyDescent="0.25">
      <c r="B41" s="31" t="s">
        <v>472</v>
      </c>
      <c r="C41" s="162"/>
      <c r="D41" s="162"/>
      <c r="E41" s="162"/>
    </row>
    <row r="42" spans="1:14" x14ac:dyDescent="0.25">
      <c r="A42" s="29"/>
      <c r="B42" s="162"/>
      <c r="C42" s="162"/>
      <c r="D42" s="162"/>
      <c r="E42" s="162"/>
    </row>
    <row r="43" spans="1:14" ht="15.75" thickBot="1" x14ac:dyDescent="0.3">
      <c r="A43" s="81" t="s">
        <v>57</v>
      </c>
      <c r="B43" s="31" t="s">
        <v>508</v>
      </c>
    </row>
    <row r="44" spans="1:14" ht="16.5" thickTop="1" thickBot="1" x14ac:dyDescent="0.3">
      <c r="B44" s="162" t="s">
        <v>475</v>
      </c>
      <c r="D44" s="381">
        <f>$C$12</f>
        <v>4.1548081496784101E-2</v>
      </c>
      <c r="K44" s="265"/>
    </row>
    <row r="45" spans="1:14" ht="15.75" thickTop="1" x14ac:dyDescent="0.25">
      <c r="B45" s="162" t="s">
        <v>476</v>
      </c>
      <c r="D45" s="390">
        <f>$C$14</f>
        <v>1.3500000000000002E-2</v>
      </c>
      <c r="K45" s="265"/>
    </row>
    <row r="46" spans="1:14" ht="15.75" thickBot="1" x14ac:dyDescent="0.3">
      <c r="B46" s="286" t="s">
        <v>477</v>
      </c>
      <c r="C46" s="286"/>
      <c r="D46" s="391">
        <f>D44-D45</f>
        <v>2.8048081496784099E-2</v>
      </c>
      <c r="K46" s="265"/>
    </row>
    <row r="47" spans="1:14" ht="16.5" thickTop="1" thickBot="1" x14ac:dyDescent="0.3">
      <c r="A47" s="31"/>
      <c r="B47" s="162" t="s">
        <v>478</v>
      </c>
      <c r="C47" s="162"/>
      <c r="D47" s="316">
        <f>L30*(1+D45)/D46</f>
        <v>224620.08316930544</v>
      </c>
      <c r="G47" s="563"/>
      <c r="K47" s="162"/>
    </row>
    <row r="48" spans="1:14" ht="15.75" thickTop="1" x14ac:dyDescent="0.25">
      <c r="A48" s="31"/>
      <c r="B48" s="162" t="s">
        <v>479</v>
      </c>
      <c r="C48" s="162"/>
      <c r="D48" s="366">
        <f>L35</f>
        <v>4.0472222222222225</v>
      </c>
      <c r="K48" s="274"/>
    </row>
    <row r="49" spans="1:12" x14ac:dyDescent="0.25">
      <c r="B49" s="285" t="s">
        <v>511</v>
      </c>
      <c r="C49" s="286"/>
      <c r="D49" s="392">
        <f>D47/(1+D44)^D48</f>
        <v>190500.63760422778</v>
      </c>
      <c r="K49" s="162"/>
    </row>
    <row r="50" spans="1:12" ht="15.75" thickBot="1" x14ac:dyDescent="0.3">
      <c r="B50" s="175" t="s">
        <v>474</v>
      </c>
      <c r="C50" s="175"/>
      <c r="D50" s="393">
        <f>ROUND(C39+D49,-2)</f>
        <v>213900</v>
      </c>
    </row>
    <row r="51" spans="1:12" ht="15.75" thickTop="1" x14ac:dyDescent="0.25"/>
    <row r="52" spans="1:12" ht="15.75" thickBot="1" x14ac:dyDescent="0.3">
      <c r="A52" s="81" t="s">
        <v>118</v>
      </c>
      <c r="B52" s="31" t="s">
        <v>509</v>
      </c>
    </row>
    <row r="53" spans="1:12" ht="16.5" thickTop="1" thickBot="1" x14ac:dyDescent="0.3">
      <c r="B53" t="s">
        <v>510</v>
      </c>
      <c r="D53" s="79">
        <f>'Business Summary'!E210+7</f>
        <v>24.83</v>
      </c>
    </row>
    <row r="54" spans="1:12" ht="15.75" thickTop="1" x14ac:dyDescent="0.25">
      <c r="B54" t="s">
        <v>473</v>
      </c>
      <c r="D54" s="318">
        <f>D53*$L$22</f>
        <v>154654.75263430423</v>
      </c>
    </row>
    <row r="55" spans="1:12" x14ac:dyDescent="0.25">
      <c r="B55" s="285" t="s">
        <v>511</v>
      </c>
      <c r="C55" s="285"/>
      <c r="D55" s="396">
        <f>D54/(1+$C$12)^$L$35</f>
        <v>131162.93329458206</v>
      </c>
    </row>
    <row r="56" spans="1:12" ht="15.75" thickBot="1" x14ac:dyDescent="0.3">
      <c r="B56" s="175" t="s">
        <v>474</v>
      </c>
      <c r="C56" s="175"/>
      <c r="D56" s="393">
        <f>ROUND(C39+D55,-2)</f>
        <v>154600</v>
      </c>
    </row>
    <row r="57" spans="1:12" ht="15.75" thickTop="1" x14ac:dyDescent="0.25"/>
    <row r="59" spans="1:12" x14ac:dyDescent="0.25">
      <c r="A59" s="81" t="s">
        <v>119</v>
      </c>
      <c r="B59" s="31" t="s">
        <v>364</v>
      </c>
    </row>
    <row r="60" spans="1:12" ht="15.75" thickBot="1" x14ac:dyDescent="0.3">
      <c r="A60" s="81" t="s">
        <v>561</v>
      </c>
      <c r="B60" s="270" t="s">
        <v>508</v>
      </c>
    </row>
    <row r="61" spans="1:12" ht="16.5" thickTop="1" thickBot="1" x14ac:dyDescent="0.3">
      <c r="B61" s="375" t="s">
        <v>474</v>
      </c>
      <c r="C61" s="162"/>
      <c r="D61" s="316">
        <f>$D$50</f>
        <v>213900</v>
      </c>
      <c r="F61" s="415"/>
      <c r="G61" s="416"/>
      <c r="H61" s="416"/>
      <c r="I61" s="420" t="s">
        <v>452</v>
      </c>
      <c r="J61" s="416"/>
      <c r="K61" s="416"/>
      <c r="L61" s="417"/>
    </row>
    <row r="62" spans="1:12" ht="16.5" thickTop="1" thickBot="1" x14ac:dyDescent="0.3">
      <c r="A62" s="31"/>
      <c r="B62" s="376" t="s">
        <v>512</v>
      </c>
      <c r="C62" s="162"/>
      <c r="D62" s="314">
        <f>BS!G30+BS!G31+BS!G37</f>
        <v>7949</v>
      </c>
      <c r="F62" s="418"/>
      <c r="G62" s="383">
        <f>$D$67</f>
        <v>251.11151603498541</v>
      </c>
      <c r="H62" s="385">
        <f>I62-$C$15</f>
        <v>1.7000000000000001E-2</v>
      </c>
      <c r="I62" s="385">
        <f>J62-$C$15</f>
        <v>2.2000000000000002E-2</v>
      </c>
      <c r="J62" s="408">
        <v>2.7000000000000003E-2</v>
      </c>
      <c r="K62" s="385">
        <f>J62+$C$15</f>
        <v>3.2000000000000001E-2</v>
      </c>
      <c r="L62" s="394">
        <f>K62+$C$15</f>
        <v>3.6999999999999998E-2</v>
      </c>
    </row>
    <row r="63" spans="1:12" ht="16.5" thickTop="1" thickBot="1" x14ac:dyDescent="0.3">
      <c r="A63" s="31"/>
      <c r="B63" s="376" t="s">
        <v>513</v>
      </c>
      <c r="C63" s="162"/>
      <c r="D63" s="314">
        <f>BS!G52</f>
        <v>332</v>
      </c>
      <c r="F63" s="418"/>
      <c r="G63" s="385">
        <f>G64-$C$15</f>
        <v>2.3512715162415529E-2</v>
      </c>
      <c r="H63" s="316">
        <f t="dataTable" ref="H63:L67" dt2D="1" dtr="1" r1="C14" r2="C12"/>
        <v>1094.1630223517977</v>
      </c>
      <c r="I63" s="316">
        <v>4664.6197764820208</v>
      </c>
      <c r="J63" s="316">
        <v>-2003.3831389698735</v>
      </c>
      <c r="K63" s="316">
        <v>-814.97206025267246</v>
      </c>
      <c r="L63" s="404">
        <v>-507.63483965014575</v>
      </c>
    </row>
    <row r="64" spans="1:12" ht="16.5" thickTop="1" thickBot="1" x14ac:dyDescent="0.3">
      <c r="B64" s="376" t="s">
        <v>514</v>
      </c>
      <c r="C64" s="162"/>
      <c r="D64" s="363">
        <f>BS!G13</f>
        <v>1096</v>
      </c>
      <c r="F64" s="418"/>
      <c r="G64" s="385">
        <f>G65-$C$15</f>
        <v>2.851271516241553E-2</v>
      </c>
      <c r="H64" s="316">
        <v>615.78595724003878</v>
      </c>
      <c r="I64" s="316">
        <v>1078.0065597667638</v>
      </c>
      <c r="J64" s="316">
        <v>4595.8637026239066</v>
      </c>
      <c r="K64" s="316">
        <v>-1973.8641885325558</v>
      </c>
      <c r="L64" s="404">
        <v>-802.94582118561709</v>
      </c>
    </row>
    <row r="65" spans="1:12" ht="16.5" thickTop="1" thickBot="1" x14ac:dyDescent="0.3">
      <c r="B65" s="400" t="s">
        <v>515</v>
      </c>
      <c r="C65" s="176"/>
      <c r="D65" s="389">
        <f>D61-D62-D63+D64</f>
        <v>206715</v>
      </c>
      <c r="F65" s="418" t="s">
        <v>519</v>
      </c>
      <c r="G65" s="409">
        <v>3.3512715162415531E-2</v>
      </c>
      <c r="H65" s="316">
        <v>427.13192419825072</v>
      </c>
      <c r="I65" s="316">
        <v>606.79664723032067</v>
      </c>
      <c r="J65" s="424">
        <v>1062.2145286686102</v>
      </c>
      <c r="K65" s="316">
        <v>4528.4438775510198</v>
      </c>
      <c r="L65" s="404">
        <v>-1944.8311467444119</v>
      </c>
    </row>
    <row r="66" spans="1:12" ht="16.5" thickTop="1" thickBot="1" x14ac:dyDescent="0.3">
      <c r="B66" s="375" t="s">
        <v>516</v>
      </c>
      <c r="C66" s="162"/>
      <c r="D66" s="397">
        <f>'Equity Schedule'!$G$53</f>
        <v>823.2</v>
      </c>
      <c r="F66" s="418"/>
      <c r="G66" s="385">
        <f>G65+$C$15</f>
        <v>3.8512715162415528E-2</v>
      </c>
      <c r="H66" s="316">
        <v>326.30587949465496</v>
      </c>
      <c r="I66" s="316">
        <v>420.93658892128275</v>
      </c>
      <c r="J66" s="316">
        <v>597.92881438289601</v>
      </c>
      <c r="K66" s="316">
        <v>1046.7869290573371</v>
      </c>
      <c r="L66" s="404">
        <v>4462.3603012633621</v>
      </c>
    </row>
    <row r="67" spans="1:12" ht="16.5" thickTop="1" thickBot="1" x14ac:dyDescent="0.3">
      <c r="B67" s="400" t="s">
        <v>517</v>
      </c>
      <c r="C67" s="175"/>
      <c r="D67" s="398">
        <f>D65/D66</f>
        <v>251.11151603498541</v>
      </c>
      <c r="F67" s="419"/>
      <c r="G67" s="395">
        <f>G66+$C$15</f>
        <v>4.3512715162415526E-2</v>
      </c>
      <c r="H67" s="405">
        <v>263.38070942662779</v>
      </c>
      <c r="I67" s="405">
        <v>321.5682701652089</v>
      </c>
      <c r="J67" s="405">
        <v>414.86273080660834</v>
      </c>
      <c r="K67" s="405">
        <v>589.30393586005823</v>
      </c>
      <c r="L67" s="406">
        <v>1031.602283770651</v>
      </c>
    </row>
    <row r="68" spans="1:12" ht="15.75" thickTop="1" x14ac:dyDescent="0.25"/>
    <row r="69" spans="1:12" ht="15.75" thickBot="1" x14ac:dyDescent="0.3">
      <c r="A69" s="81" t="s">
        <v>562</v>
      </c>
      <c r="B69" s="270" t="s">
        <v>509</v>
      </c>
    </row>
    <row r="70" spans="1:12" ht="16.5" thickTop="1" thickBot="1" x14ac:dyDescent="0.3">
      <c r="B70" s="375" t="s">
        <v>474</v>
      </c>
      <c r="D70" s="342">
        <f>D56</f>
        <v>154600</v>
      </c>
      <c r="F70" s="421"/>
      <c r="G70" s="422"/>
      <c r="H70" s="422"/>
      <c r="I70" s="422" t="s">
        <v>518</v>
      </c>
      <c r="J70" s="422"/>
      <c r="K70" s="422"/>
      <c r="L70" s="423"/>
    </row>
    <row r="71" spans="1:12" ht="16.5" thickTop="1" thickBot="1" x14ac:dyDescent="0.3">
      <c r="B71" s="376" t="s">
        <v>512</v>
      </c>
      <c r="D71" s="165">
        <f>BS!G30+BS!G31+BS!G37</f>
        <v>7949</v>
      </c>
      <c r="F71" s="418"/>
      <c r="G71" s="383">
        <f>$D$76</f>
        <v>179.07555879494655</v>
      </c>
      <c r="H71" s="382">
        <f>I71-$C$15*100</f>
        <v>18.09</v>
      </c>
      <c r="I71" s="382">
        <f>J71-$C$15*100</f>
        <v>18.59</v>
      </c>
      <c r="J71" s="410">
        <v>19.09</v>
      </c>
      <c r="K71" s="382">
        <f>J71+$C$15*100</f>
        <v>19.59</v>
      </c>
      <c r="L71" s="399">
        <f>K71+$C$15*100</f>
        <v>20.09</v>
      </c>
    </row>
    <row r="72" spans="1:12" ht="16.5" thickTop="1" thickBot="1" x14ac:dyDescent="0.3">
      <c r="B72" s="376" t="s">
        <v>513</v>
      </c>
      <c r="D72" s="165">
        <f>BS!G52</f>
        <v>332</v>
      </c>
      <c r="F72" s="418"/>
      <c r="G72" s="385">
        <f>G73-$C$15</f>
        <v>2.3512715162415529E-2</v>
      </c>
      <c r="H72" s="316">
        <f t="dataTable" ref="H72:L76" dt2D="1" dtr="1" r1="D53" r2="D44" ca="1"/>
        <v>135.82968901846453</v>
      </c>
      <c r="I72" s="316">
        <v>138.98809523809524</v>
      </c>
      <c r="J72" s="316">
        <v>142.14650145772595</v>
      </c>
      <c r="K72" s="316">
        <v>145.42638483965013</v>
      </c>
      <c r="L72" s="404">
        <v>148.58479105928086</v>
      </c>
    </row>
    <row r="73" spans="1:12" ht="16.5" thickTop="1" thickBot="1" x14ac:dyDescent="0.3">
      <c r="B73" s="376" t="s">
        <v>514</v>
      </c>
      <c r="D73" s="166">
        <f>BS!G13</f>
        <v>1096</v>
      </c>
      <c r="F73" s="418"/>
      <c r="G73" s="385">
        <f>G74-$C$15</f>
        <v>2.851271516241553E-2</v>
      </c>
      <c r="H73" s="316">
        <v>135.82968901846453</v>
      </c>
      <c r="I73" s="316">
        <v>138.98809523809524</v>
      </c>
      <c r="J73" s="316">
        <v>142.14650145772595</v>
      </c>
      <c r="K73" s="316">
        <v>145.42638483965013</v>
      </c>
      <c r="L73" s="404">
        <v>148.58479105928086</v>
      </c>
    </row>
    <row r="74" spans="1:12" ht="16.5" thickTop="1" thickBot="1" x14ac:dyDescent="0.3">
      <c r="B74" s="400" t="s">
        <v>515</v>
      </c>
      <c r="C74" s="176"/>
      <c r="D74" s="389">
        <f>D70-D71-D72+D73</f>
        <v>147415</v>
      </c>
      <c r="F74" s="418" t="s">
        <v>519</v>
      </c>
      <c r="G74" s="409">
        <v>3.3512715162415531E-2</v>
      </c>
      <c r="H74" s="316">
        <v>135.82968901846453</v>
      </c>
      <c r="I74" s="316">
        <v>138.98809523809524</v>
      </c>
      <c r="J74" s="424">
        <v>142.14650145772595</v>
      </c>
      <c r="K74" s="316">
        <v>145.42638483965013</v>
      </c>
      <c r="L74" s="404">
        <v>148.58479105928086</v>
      </c>
    </row>
    <row r="75" spans="1:12" ht="16.5" thickTop="1" thickBot="1" x14ac:dyDescent="0.3">
      <c r="B75" s="375" t="s">
        <v>516</v>
      </c>
      <c r="C75" s="162"/>
      <c r="D75" s="397">
        <f>'Equity Schedule'!$G$53</f>
        <v>823.2</v>
      </c>
      <c r="F75" s="418"/>
      <c r="G75" s="385">
        <f>G74+$C$15</f>
        <v>3.8512715162415528E-2</v>
      </c>
      <c r="H75" s="316">
        <v>135.82968901846453</v>
      </c>
      <c r="I75" s="316">
        <v>138.98809523809524</v>
      </c>
      <c r="J75" s="316">
        <v>142.14650145772595</v>
      </c>
      <c r="K75" s="316">
        <v>145.42638483965013</v>
      </c>
      <c r="L75" s="404">
        <v>148.58479105928086</v>
      </c>
    </row>
    <row r="76" spans="1:12" ht="16.5" thickTop="1" thickBot="1" x14ac:dyDescent="0.3">
      <c r="B76" s="400" t="s">
        <v>517</v>
      </c>
      <c r="C76" s="175"/>
      <c r="D76" s="398">
        <f>D74/D75</f>
        <v>179.07555879494655</v>
      </c>
      <c r="F76" s="419"/>
      <c r="G76" s="395">
        <f>G75+$C$15</f>
        <v>4.3512715162415526E-2</v>
      </c>
      <c r="H76" s="405">
        <v>135.82968901846453</v>
      </c>
      <c r="I76" s="405">
        <v>138.98809523809524</v>
      </c>
      <c r="J76" s="405">
        <v>142.14650145772595</v>
      </c>
      <c r="K76" s="405">
        <v>145.42638483965013</v>
      </c>
      <c r="L76" s="406">
        <v>148.58479105928086</v>
      </c>
    </row>
    <row r="77" spans="1:12" ht="15.75" thickTop="1" x14ac:dyDescent="0.25"/>
    <row r="78" spans="1:12" x14ac:dyDescent="0.25">
      <c r="B78" s="23" t="s">
        <v>22</v>
      </c>
      <c r="C78" s="162"/>
      <c r="D78" s="162"/>
      <c r="E78" s="162"/>
      <c r="F78" s="162"/>
      <c r="G78" s="162"/>
      <c r="H78" s="162"/>
      <c r="I78" s="162"/>
      <c r="J78" s="162"/>
      <c r="K78" s="162"/>
      <c r="L78" s="162"/>
    </row>
    <row r="79" spans="1:12" x14ac:dyDescent="0.25">
      <c r="A79" s="29"/>
      <c r="B79" t="s">
        <v>23</v>
      </c>
      <c r="C79" s="162"/>
      <c r="D79" s="162"/>
      <c r="E79" s="162"/>
      <c r="F79" s="162"/>
      <c r="G79" s="162"/>
      <c r="H79" s="162"/>
      <c r="I79" s="162"/>
      <c r="J79" s="162"/>
      <c r="K79" s="162"/>
      <c r="L79" s="162"/>
    </row>
  </sheetData>
  <mergeCells count="2">
    <mergeCell ref="C17:G17"/>
    <mergeCell ref="H17:L17"/>
  </mergeCells>
  <pageMargins left="0.70866141732283472" right="0.70866141732283472" top="0.74803149606299213" bottom="0.74803149606299213" header="0.31496062992125984" footer="0.31496062992125984"/>
  <pageSetup scale="47" orientation="landscape" r:id="rId1"/>
  <rowBreaks count="2" manualBreakCount="2">
    <brk id="40" max="16383" man="1"/>
    <brk id="79" max="12" man="1"/>
  </rowBreaks>
  <ignoredErrors>
    <ignoredError sqref="C23:G23" formula="1"/>
    <ignoredError sqref="C26:G26 C29:G29" formulaRange="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465C-0D28-42C6-9832-A875857BFD9A}">
  <dimension ref="A1:P30"/>
  <sheetViews>
    <sheetView showGridLines="0" view="pageBreakPreview" zoomScale="80" zoomScaleNormal="100" zoomScaleSheetLayoutView="80" workbookViewId="0">
      <selection activeCell="D4" sqref="D4"/>
    </sheetView>
  </sheetViews>
  <sheetFormatPr defaultRowHeight="15" x14ac:dyDescent="0.25"/>
  <cols>
    <col min="1" max="1" width="4.7109375" bestFit="1" customWidth="1"/>
    <col min="3" max="3" width="19.7109375" bestFit="1" customWidth="1"/>
    <col min="9" max="9" width="10.7109375" bestFit="1" customWidth="1"/>
    <col min="10" max="10" width="3.42578125" bestFit="1" customWidth="1"/>
  </cols>
  <sheetData>
    <row r="1" spans="1:16" ht="15.75" customHeight="1" x14ac:dyDescent="0.25">
      <c r="O1" s="8"/>
      <c r="P1" s="157"/>
    </row>
    <row r="2" spans="1:16" ht="15.75" customHeight="1" x14ac:dyDescent="0.25"/>
    <row r="3" spans="1:16" ht="21.75" customHeight="1" x14ac:dyDescent="0.25">
      <c r="D3" s="571"/>
    </row>
    <row r="4" spans="1:16" ht="15.75" customHeight="1" x14ac:dyDescent="0.25">
      <c r="D4" s="571" t="s">
        <v>692</v>
      </c>
    </row>
    <row r="5" spans="1:16" ht="15.75" customHeight="1" x14ac:dyDescent="0.25">
      <c r="D5" s="572" t="s">
        <v>626</v>
      </c>
    </row>
    <row r="6" spans="1:16" ht="15.75" customHeight="1" x14ac:dyDescent="0.25">
      <c r="A6" s="31"/>
      <c r="D6" s="572" t="s">
        <v>627</v>
      </c>
    </row>
    <row r="7" spans="1:16" ht="15.75" customHeight="1" x14ac:dyDescent="0.25">
      <c r="A7" s="31"/>
      <c r="E7" s="9"/>
    </row>
    <row r="9" spans="1:16" ht="18" thickBot="1" x14ac:dyDescent="0.45">
      <c r="B9" s="426" t="s">
        <v>424</v>
      </c>
      <c r="C9" s="427"/>
      <c r="D9" s="427"/>
      <c r="E9" s="426"/>
      <c r="F9" s="426"/>
      <c r="G9" s="256"/>
      <c r="H9" s="256"/>
      <c r="I9" s="428" t="s">
        <v>569</v>
      </c>
    </row>
    <row r="10" spans="1:16" ht="16.5" thickTop="1" thickBot="1" x14ac:dyDescent="0.3">
      <c r="B10" s="275" t="s">
        <v>425</v>
      </c>
      <c r="C10" s="276" t="s">
        <v>481</v>
      </c>
      <c r="D10" s="277"/>
      <c r="E10" s="278"/>
      <c r="F10" s="277"/>
      <c r="I10" s="429">
        <f>Beta!$D$17</f>
        <v>0.49299999999999999</v>
      </c>
      <c r="O10" s="564"/>
    </row>
    <row r="11" spans="1:16" ht="16.5" thickTop="1" thickBot="1" x14ac:dyDescent="0.3">
      <c r="B11" s="275" t="s">
        <v>506</v>
      </c>
      <c r="C11" s="279" t="s">
        <v>507</v>
      </c>
      <c r="D11" s="277"/>
      <c r="E11" s="280"/>
      <c r="F11" s="280"/>
      <c r="I11" s="58">
        <f>Beta!$D$19</f>
        <v>0.2095011858087108</v>
      </c>
      <c r="P11" s="296"/>
    </row>
    <row r="12" spans="1:16" ht="16.5" thickTop="1" thickBot="1" x14ac:dyDescent="0.3">
      <c r="B12" s="275" t="s">
        <v>426</v>
      </c>
      <c r="C12" s="276" t="s">
        <v>427</v>
      </c>
      <c r="D12" s="277"/>
      <c r="E12" s="277"/>
      <c r="F12" s="277"/>
      <c r="I12" s="58">
        <f>'Risk Free Rate'!$N$48/100</f>
        <v>4.6300000000000001E-2</v>
      </c>
      <c r="P12" s="290"/>
    </row>
    <row r="13" spans="1:16" ht="16.5" thickTop="1" thickBot="1" x14ac:dyDescent="0.3">
      <c r="B13" s="275" t="s">
        <v>428</v>
      </c>
      <c r="C13" s="568" t="s">
        <v>429</v>
      </c>
      <c r="D13" s="277"/>
      <c r="E13" s="277"/>
      <c r="F13" s="281"/>
      <c r="I13" s="407">
        <v>0.08</v>
      </c>
      <c r="K13" t="s">
        <v>503</v>
      </c>
      <c r="P13" s="290"/>
    </row>
    <row r="14" spans="1:16" ht="16.5" thickTop="1" thickBot="1" x14ac:dyDescent="0.3">
      <c r="B14" s="275" t="s">
        <v>430</v>
      </c>
      <c r="C14" s="276" t="s">
        <v>431</v>
      </c>
      <c r="D14" s="277"/>
      <c r="E14" s="277"/>
      <c r="F14" s="281"/>
      <c r="I14" s="407">
        <v>4.5999999999999999E-2</v>
      </c>
    </row>
    <row r="15" spans="1:16" ht="16.5" thickTop="1" thickBot="1" x14ac:dyDescent="0.3">
      <c r="B15" s="275" t="s">
        <v>432</v>
      </c>
      <c r="C15" s="276" t="s">
        <v>433</v>
      </c>
      <c r="D15" s="277"/>
      <c r="E15" s="277"/>
      <c r="F15" s="281"/>
      <c r="I15" s="407">
        <v>0</v>
      </c>
      <c r="K15" t="s">
        <v>503</v>
      </c>
    </row>
    <row r="16" spans="1:16" ht="16.5" thickTop="1" thickBot="1" x14ac:dyDescent="0.3">
      <c r="B16" s="275" t="s">
        <v>434</v>
      </c>
      <c r="C16" s="279" t="s">
        <v>435</v>
      </c>
      <c r="D16" s="277"/>
      <c r="E16" s="277"/>
      <c r="F16" s="281"/>
      <c r="I16" s="58">
        <f>'Debt Schedule'!G45/AVERAGE(SUM(BS!F30:F31,BS!F37),SUM(BS!G30:G31,BS!G37))</f>
        <v>3.5398230088495575E-2</v>
      </c>
    </row>
    <row r="17" spans="1:9" ht="16.5" thickTop="1" thickBot="1" x14ac:dyDescent="0.3">
      <c r="B17" s="275" t="s">
        <v>436</v>
      </c>
      <c r="C17" s="276" t="s">
        <v>437</v>
      </c>
      <c r="D17" s="277"/>
      <c r="E17" s="277"/>
      <c r="F17" s="277"/>
      <c r="I17" s="58">
        <f>'IS Assumptions'!$G$44</f>
        <v>0.22927199191102124</v>
      </c>
    </row>
    <row r="18" spans="1:9" ht="16.5" thickTop="1" thickBot="1" x14ac:dyDescent="0.3">
      <c r="B18" s="275" t="s">
        <v>438</v>
      </c>
      <c r="C18" s="277" t="s">
        <v>439</v>
      </c>
      <c r="D18" s="277"/>
      <c r="E18" s="277"/>
      <c r="F18" s="277"/>
      <c r="I18" s="385">
        <f>C29/(C28+C29)</f>
        <v>6.4052749322971864E-2</v>
      </c>
    </row>
    <row r="19" spans="1:9" ht="16.5" thickTop="1" thickBot="1" x14ac:dyDescent="0.3">
      <c r="B19" s="275" t="s">
        <v>440</v>
      </c>
      <c r="C19" s="277" t="s">
        <v>441</v>
      </c>
      <c r="D19" s="277"/>
      <c r="E19" s="277"/>
      <c r="F19" s="277"/>
      <c r="I19" s="385">
        <f>1-I18</f>
        <v>0.93594725067702811</v>
      </c>
    </row>
    <row r="20" spans="1:9" ht="16.5" thickTop="1" thickBot="1" x14ac:dyDescent="0.3">
      <c r="B20" s="275"/>
      <c r="C20" s="277"/>
      <c r="D20" s="277"/>
      <c r="E20" s="277"/>
      <c r="F20" s="277"/>
    </row>
    <row r="21" spans="1:9" ht="16.5" thickTop="1" thickBot="1" x14ac:dyDescent="0.3">
      <c r="B21" s="282" t="s">
        <v>442</v>
      </c>
      <c r="C21" s="565" t="s">
        <v>443</v>
      </c>
      <c r="D21" s="277"/>
      <c r="E21" s="276" t="s">
        <v>444</v>
      </c>
      <c r="F21" s="276"/>
      <c r="I21" s="385">
        <f>ROUND(((I11-I12)*I10)+SUM(I12:I15),2)</f>
        <v>0.25</v>
      </c>
    </row>
    <row r="22" spans="1:9" ht="16.5" thickTop="1" thickBot="1" x14ac:dyDescent="0.3">
      <c r="B22" s="282"/>
      <c r="C22" s="277"/>
      <c r="D22" s="277"/>
      <c r="E22" s="277"/>
      <c r="F22" s="277"/>
    </row>
    <row r="23" spans="1:9" ht="16.5" thickTop="1" thickBot="1" x14ac:dyDescent="0.3">
      <c r="B23" s="282" t="s">
        <v>445</v>
      </c>
      <c r="C23" s="283" t="s">
        <v>446</v>
      </c>
      <c r="D23" s="277"/>
      <c r="E23" s="277" t="s">
        <v>447</v>
      </c>
      <c r="F23" s="277"/>
      <c r="I23" s="385">
        <f>I16*(1-I17)</f>
        <v>2.7282407365981549E-2</v>
      </c>
    </row>
    <row r="24" spans="1:9" ht="16.5" thickTop="1" thickBot="1" x14ac:dyDescent="0.3">
      <c r="B24" s="284"/>
      <c r="C24" s="283"/>
      <c r="D24" s="277"/>
      <c r="E24" s="277"/>
      <c r="F24" s="277"/>
    </row>
    <row r="25" spans="1:9" ht="16.5" thickTop="1" thickBot="1" x14ac:dyDescent="0.3">
      <c r="B25" s="283" t="s">
        <v>448</v>
      </c>
      <c r="C25" s="284"/>
      <c r="D25" s="277"/>
      <c r="E25" s="277" t="s">
        <v>449</v>
      </c>
      <c r="F25" s="277"/>
      <c r="I25" s="385">
        <f>(I18*I21)+(I19*I23)</f>
        <v>4.1548081496784101E-2</v>
      </c>
    </row>
    <row r="26" spans="1:9" ht="15.75" thickTop="1" x14ac:dyDescent="0.25"/>
    <row r="27" spans="1:9" ht="15.75" thickBot="1" x14ac:dyDescent="0.3"/>
    <row r="28" spans="1:9" ht="16.5" thickTop="1" thickBot="1" x14ac:dyDescent="0.3">
      <c r="A28" s="81" t="s">
        <v>57</v>
      </c>
      <c r="B28" t="s">
        <v>411</v>
      </c>
      <c r="C28" s="165">
        <f>BS!G30+BS!G31+BS!G37</f>
        <v>7949</v>
      </c>
    </row>
    <row r="29" spans="1:9" ht="16.5" thickTop="1" thickBot="1" x14ac:dyDescent="0.3">
      <c r="B29" t="s">
        <v>373</v>
      </c>
      <c r="C29" s="165">
        <f>BS!G53</f>
        <v>544</v>
      </c>
    </row>
    <row r="30" spans="1:9" ht="15.75" thickTop="1" x14ac:dyDescent="0.25"/>
  </sheetData>
  <pageMargins left="0.7" right="0.7" top="0.75" bottom="0.75" header="0.3" footer="0.3"/>
  <pageSetup scale="75" orientation="portrait" r:id="rId1"/>
  <ignoredErrors>
    <ignoredError sqref="I16"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8E48-47DE-4576-8F47-9209378F35BA}">
  <dimension ref="A1:M41"/>
  <sheetViews>
    <sheetView showGridLines="0" showRuler="0" view="pageBreakPreview" topLeftCell="A26" zoomScale="80" zoomScaleNormal="80" zoomScaleSheetLayoutView="80" zoomScalePageLayoutView="70" workbookViewId="0">
      <selection activeCell="Q40" sqref="Q40"/>
    </sheetView>
  </sheetViews>
  <sheetFormatPr defaultRowHeight="15" x14ac:dyDescent="0.25"/>
  <cols>
    <col min="1" max="12" width="12.28515625" style="574" customWidth="1"/>
    <col min="13" max="16384" width="9.140625" style="574"/>
  </cols>
  <sheetData>
    <row r="1" spans="1:13" ht="46.5" x14ac:dyDescent="0.7">
      <c r="A1" s="573"/>
      <c r="B1" s="573"/>
      <c r="C1" s="573"/>
      <c r="D1" s="573"/>
      <c r="E1" s="573"/>
      <c r="F1" s="573"/>
      <c r="G1" s="573"/>
      <c r="H1" s="573"/>
      <c r="I1" s="573"/>
      <c r="J1" s="573"/>
      <c r="K1" s="573"/>
      <c r="L1" s="573"/>
      <c r="M1" s="573"/>
    </row>
    <row r="2" spans="1:13" ht="46.5" x14ac:dyDescent="0.7">
      <c r="A2" s="573"/>
      <c r="B2" s="573"/>
      <c r="C2" s="573"/>
      <c r="D2" s="573"/>
      <c r="E2" s="573"/>
      <c r="F2" s="573"/>
      <c r="G2" s="573"/>
      <c r="H2" s="573"/>
      <c r="I2" s="573"/>
      <c r="J2" s="573"/>
      <c r="K2" s="573"/>
      <c r="L2" s="573"/>
      <c r="M2" s="573"/>
    </row>
    <row r="3" spans="1:13" ht="18.75" x14ac:dyDescent="0.3">
      <c r="A3" s="195"/>
      <c r="B3" s="575"/>
      <c r="C3" s="575"/>
      <c r="D3" s="575"/>
      <c r="E3" s="575"/>
      <c r="F3" s="575"/>
      <c r="G3" s="575"/>
      <c r="H3" s="575"/>
      <c r="I3" s="576"/>
      <c r="J3" s="577"/>
      <c r="L3" s="578"/>
    </row>
    <row r="4" spans="1:13" ht="18.75" x14ac:dyDescent="0.3">
      <c r="A4" s="195"/>
      <c r="B4" s="575"/>
      <c r="C4" s="575"/>
      <c r="D4" s="575"/>
      <c r="E4" s="575"/>
      <c r="F4" s="575"/>
      <c r="G4" s="575"/>
      <c r="H4" s="575"/>
      <c r="I4" s="576"/>
      <c r="J4" s="577"/>
      <c r="L4" s="578"/>
    </row>
    <row r="5" spans="1:13" ht="18.75" x14ac:dyDescent="0.3">
      <c r="A5" s="195"/>
      <c r="B5" s="197"/>
      <c r="C5" s="197"/>
      <c r="D5" s="197"/>
      <c r="E5" s="197"/>
      <c r="F5" s="197"/>
      <c r="G5" s="197"/>
      <c r="H5" s="197"/>
      <c r="I5" s="576"/>
      <c r="J5" s="578"/>
      <c r="L5" s="578"/>
    </row>
    <row r="6" spans="1:13" ht="18.75" x14ac:dyDescent="0.3">
      <c r="A6" s="195"/>
      <c r="B6" s="197"/>
      <c r="C6" s="197"/>
      <c r="D6" s="197"/>
      <c r="E6" s="197"/>
      <c r="F6" s="197"/>
      <c r="G6" s="197"/>
      <c r="H6" s="197"/>
      <c r="I6" s="576"/>
      <c r="J6" s="578"/>
      <c r="L6" s="578"/>
    </row>
    <row r="7" spans="1:13" ht="18.75" x14ac:dyDescent="0.3">
      <c r="A7" s="195"/>
      <c r="B7" s="197"/>
      <c r="C7" s="197"/>
      <c r="D7" s="197"/>
      <c r="E7" s="197"/>
      <c r="F7" s="197"/>
      <c r="G7" s="197"/>
      <c r="H7" s="197"/>
      <c r="I7" s="576"/>
      <c r="J7" s="578"/>
      <c r="L7" s="578"/>
    </row>
    <row r="8" spans="1:13" ht="18.75" x14ac:dyDescent="0.3">
      <c r="A8" s="195"/>
      <c r="B8" s="197"/>
      <c r="C8" s="197"/>
      <c r="D8" s="197"/>
      <c r="E8" s="197"/>
      <c r="F8" s="197"/>
      <c r="G8" s="197"/>
      <c r="H8" s="197"/>
      <c r="I8" s="576"/>
      <c r="J8" s="578"/>
      <c r="L8" s="578"/>
    </row>
    <row r="9" spans="1:13" ht="18.75" x14ac:dyDescent="0.3">
      <c r="A9" s="195"/>
      <c r="B9" s="197"/>
      <c r="C9" s="197"/>
      <c r="D9" s="197"/>
      <c r="E9" s="197"/>
      <c r="F9" s="197"/>
      <c r="G9" s="197"/>
      <c r="H9" s="197"/>
      <c r="I9" s="576"/>
      <c r="J9" s="578"/>
      <c r="L9" s="578"/>
    </row>
    <row r="10" spans="1:13" ht="18.75" x14ac:dyDescent="0.3">
      <c r="A10" s="195"/>
      <c r="B10" s="197"/>
      <c r="C10" s="197"/>
      <c r="D10" s="197"/>
      <c r="E10" s="197"/>
      <c r="F10" s="197"/>
      <c r="G10" s="197"/>
      <c r="H10" s="197"/>
      <c r="I10" s="576"/>
      <c r="J10" s="578"/>
      <c r="L10" s="578"/>
    </row>
    <row r="11" spans="1:13" ht="18.75" x14ac:dyDescent="0.3">
      <c r="A11" s="195"/>
      <c r="B11" s="197"/>
      <c r="C11" s="197"/>
      <c r="D11" s="197"/>
      <c r="E11" s="197"/>
      <c r="F11" s="197"/>
      <c r="G11" s="197"/>
      <c r="H11" s="197"/>
      <c r="I11" s="576"/>
      <c r="J11" s="578"/>
      <c r="K11"/>
      <c r="L11" s="578"/>
    </row>
    <row r="12" spans="1:13" ht="18.75" x14ac:dyDescent="0.3">
      <c r="A12" s="195"/>
      <c r="B12" s="197"/>
      <c r="C12" s="197"/>
      <c r="D12" s="197"/>
      <c r="E12" s="197"/>
      <c r="F12" s="197"/>
      <c r="G12" s="197"/>
      <c r="H12" s="197"/>
      <c r="I12" s="576"/>
      <c r="J12" s="578"/>
      <c r="L12" s="578"/>
    </row>
    <row r="13" spans="1:13" ht="18.75" x14ac:dyDescent="0.3">
      <c r="A13" s="197"/>
      <c r="B13" s="197"/>
      <c r="C13" s="197"/>
      <c r="D13" s="197"/>
      <c r="E13" s="197"/>
      <c r="F13" s="197"/>
      <c r="G13" s="197"/>
      <c r="H13" s="197"/>
      <c r="I13" s="197"/>
      <c r="J13" s="578"/>
      <c r="L13" s="578"/>
    </row>
    <row r="14" spans="1:13" ht="18.75" x14ac:dyDescent="0.3">
      <c r="A14" s="195"/>
      <c r="B14" s="197"/>
      <c r="C14" s="197"/>
      <c r="D14" s="197"/>
      <c r="E14" s="197"/>
      <c r="F14" s="197"/>
      <c r="G14" s="197"/>
      <c r="H14" s="197"/>
      <c r="I14" s="579"/>
      <c r="J14" s="578"/>
      <c r="L14" s="578"/>
    </row>
    <row r="15" spans="1:13" ht="18.75" x14ac:dyDescent="0.3">
      <c r="A15" s="195"/>
      <c r="B15" s="197"/>
      <c r="C15" s="195"/>
      <c r="D15" s="575"/>
      <c r="E15" s="197"/>
      <c r="F15" s="197"/>
      <c r="G15" s="197"/>
      <c r="H15" s="197"/>
      <c r="I15" s="576"/>
      <c r="J15" s="578"/>
      <c r="L15" s="578"/>
    </row>
    <row r="16" spans="1:13" ht="18.75" x14ac:dyDescent="0.3">
      <c r="A16" s="195"/>
      <c r="B16" s="197"/>
      <c r="C16" s="195"/>
      <c r="D16" s="575"/>
      <c r="E16" s="197"/>
      <c r="F16" s="197"/>
      <c r="G16" s="197"/>
      <c r="H16" s="197"/>
      <c r="I16" s="576"/>
      <c r="J16" s="578"/>
      <c r="L16" s="578"/>
    </row>
    <row r="17" spans="1:12" ht="18.75" x14ac:dyDescent="0.3">
      <c r="A17" s="195"/>
      <c r="B17" s="197"/>
      <c r="C17" s="195"/>
      <c r="D17" s="575"/>
      <c r="E17" s="197"/>
      <c r="F17" s="197"/>
      <c r="G17" s="197"/>
      <c r="H17" s="197"/>
      <c r="I17" s="576"/>
      <c r="J17" s="578"/>
      <c r="L17" s="578"/>
    </row>
    <row r="18" spans="1:12" ht="18.75" x14ac:dyDescent="0.3">
      <c r="A18" s="195"/>
      <c r="B18" s="197"/>
      <c r="C18" s="195"/>
      <c r="D18" s="575"/>
      <c r="E18" s="197"/>
      <c r="F18" s="197"/>
      <c r="G18" s="197"/>
      <c r="H18" s="197"/>
      <c r="I18" s="576"/>
      <c r="J18" s="578"/>
      <c r="L18" s="578"/>
    </row>
    <row r="19" spans="1:12" ht="18.75" x14ac:dyDescent="0.3">
      <c r="A19" s="195"/>
      <c r="B19" s="197"/>
      <c r="C19" s="195"/>
      <c r="D19" s="575"/>
      <c r="E19" s="197"/>
      <c r="F19" s="197"/>
      <c r="G19" s="197"/>
      <c r="H19" s="197"/>
      <c r="I19" s="576"/>
      <c r="J19" s="578"/>
      <c r="L19" s="578"/>
    </row>
    <row r="20" spans="1:12" ht="18.75" x14ac:dyDescent="0.3">
      <c r="A20" s="195"/>
      <c r="B20" s="197"/>
      <c r="C20" s="195"/>
      <c r="D20" s="575"/>
      <c r="E20" s="197"/>
      <c r="F20" s="197"/>
      <c r="G20" s="197"/>
      <c r="H20" s="197"/>
      <c r="I20" s="576"/>
      <c r="J20" s="578"/>
      <c r="L20" s="578"/>
    </row>
    <row r="21" spans="1:12" ht="18.75" x14ac:dyDescent="0.3">
      <c r="A21" s="197"/>
      <c r="B21" s="197"/>
      <c r="C21" s="197"/>
      <c r="D21" s="197"/>
      <c r="E21" s="197"/>
      <c r="F21" s="197"/>
      <c r="G21" s="197"/>
      <c r="H21" s="197"/>
      <c r="I21" s="197"/>
      <c r="J21" s="578"/>
      <c r="K21" s="578"/>
      <c r="L21" s="578"/>
    </row>
    <row r="22" spans="1:12" ht="18.75" x14ac:dyDescent="0.3">
      <c r="A22" s="195"/>
      <c r="B22" s="197"/>
      <c r="C22" s="197"/>
      <c r="D22" s="197"/>
      <c r="E22" s="197"/>
      <c r="F22" s="197"/>
      <c r="G22" s="197"/>
      <c r="H22" s="197"/>
      <c r="I22" s="579"/>
      <c r="J22" s="578"/>
      <c r="K22" s="578"/>
      <c r="L22" s="578"/>
    </row>
    <row r="23" spans="1:12" ht="18.75" x14ac:dyDescent="0.3">
      <c r="A23" s="197"/>
      <c r="B23" s="197"/>
      <c r="C23" s="195"/>
      <c r="D23" s="197"/>
      <c r="E23" s="197"/>
      <c r="F23" s="197"/>
      <c r="G23" s="197"/>
      <c r="H23" s="197"/>
      <c r="I23" s="576"/>
      <c r="J23" s="578"/>
      <c r="K23" s="578"/>
      <c r="L23" s="578"/>
    </row>
    <row r="24" spans="1:12" ht="18.75" x14ac:dyDescent="0.3">
      <c r="A24" s="197"/>
      <c r="B24" s="197"/>
      <c r="C24" s="195"/>
      <c r="D24" s="197"/>
      <c r="E24" s="197"/>
      <c r="F24" s="197"/>
      <c r="G24" s="197"/>
      <c r="H24" s="197"/>
      <c r="I24" s="576"/>
      <c r="J24" s="578"/>
      <c r="K24" s="197"/>
    </row>
    <row r="25" spans="1:12" ht="18.75" x14ac:dyDescent="0.3">
      <c r="A25" s="197"/>
      <c r="B25" s="197"/>
      <c r="C25" s="195"/>
      <c r="D25" s="197"/>
      <c r="E25" s="197"/>
      <c r="F25" s="197"/>
      <c r="G25" s="197"/>
      <c r="H25" s="197"/>
      <c r="I25" s="576"/>
      <c r="J25" s="578"/>
      <c r="K25" s="197"/>
    </row>
    <row r="26" spans="1:12" ht="18.75" x14ac:dyDescent="0.3">
      <c r="A26" s="197"/>
      <c r="B26" s="197"/>
      <c r="C26" s="195"/>
      <c r="D26" s="197"/>
      <c r="E26" s="197"/>
      <c r="F26" s="197"/>
      <c r="G26" s="197"/>
      <c r="H26" s="197"/>
      <c r="I26" s="576"/>
      <c r="J26" s="578"/>
      <c r="K26" s="197"/>
    </row>
    <row r="27" spans="1:12" ht="18.75" x14ac:dyDescent="0.3">
      <c r="A27" s="197"/>
      <c r="B27" s="197"/>
      <c r="C27" s="195"/>
      <c r="D27" s="197"/>
      <c r="E27" s="197"/>
      <c r="F27" s="197"/>
      <c r="G27" s="197"/>
      <c r="H27" s="197"/>
      <c r="I27" s="576"/>
      <c r="J27" s="578"/>
      <c r="K27" s="197"/>
    </row>
    <row r="28" spans="1:12" ht="18.75" x14ac:dyDescent="0.3">
      <c r="A28" s="197"/>
      <c r="B28" s="197"/>
      <c r="C28" s="195"/>
      <c r="D28" s="197"/>
      <c r="E28" s="197"/>
      <c r="F28" s="197"/>
      <c r="G28" s="197"/>
      <c r="H28" s="197"/>
      <c r="I28" s="576"/>
      <c r="J28" s="578"/>
      <c r="K28" s="197"/>
    </row>
    <row r="29" spans="1:12" ht="18.75" x14ac:dyDescent="0.3">
      <c r="A29" s="197"/>
      <c r="B29" s="197"/>
      <c r="C29" s="195"/>
      <c r="D29" s="197"/>
      <c r="E29" s="197"/>
      <c r="F29" s="197"/>
      <c r="G29" s="197"/>
      <c r="H29" s="197"/>
      <c r="I29" s="576"/>
      <c r="J29" s="578"/>
      <c r="K29" s="197"/>
    </row>
    <row r="30" spans="1:12" ht="18.75" x14ac:dyDescent="0.3">
      <c r="A30" s="197"/>
      <c r="B30" s="197"/>
      <c r="C30" s="197"/>
      <c r="D30" s="197"/>
      <c r="E30" s="197"/>
      <c r="F30" s="197"/>
      <c r="G30" s="197"/>
      <c r="H30" s="197"/>
      <c r="I30" s="197"/>
      <c r="J30" s="197"/>
      <c r="K30" s="197"/>
    </row>
    <row r="31" spans="1:12" ht="18.75" x14ac:dyDescent="0.3">
      <c r="A31" s="195"/>
      <c r="B31" s="197"/>
      <c r="C31" s="197"/>
      <c r="D31" s="197"/>
      <c r="E31" s="197"/>
      <c r="F31" s="197"/>
      <c r="G31" s="197"/>
      <c r="H31" s="197"/>
      <c r="I31" s="579"/>
      <c r="J31" s="197"/>
      <c r="K31" s="197"/>
    </row>
    <row r="32" spans="1:12" ht="18.75" x14ac:dyDescent="0.3">
      <c r="A32" s="197"/>
      <c r="B32" s="197"/>
      <c r="C32" s="195"/>
      <c r="D32" s="197"/>
      <c r="E32" s="197"/>
      <c r="F32" s="197"/>
      <c r="G32" s="197"/>
      <c r="H32" s="197"/>
      <c r="I32" s="576"/>
      <c r="J32" s="197"/>
      <c r="K32" s="197"/>
    </row>
    <row r="33" spans="1:11" ht="18.75" x14ac:dyDescent="0.3">
      <c r="A33" s="197"/>
      <c r="B33" s="197"/>
      <c r="C33" s="195"/>
      <c r="D33" s="197"/>
      <c r="E33" s="197"/>
      <c r="F33" s="197"/>
      <c r="G33" s="197"/>
      <c r="H33" s="197"/>
      <c r="I33" s="576"/>
      <c r="K33" s="197"/>
    </row>
    <row r="34" spans="1:11" ht="18.75" x14ac:dyDescent="0.3">
      <c r="A34" s="195"/>
      <c r="B34" s="197"/>
      <c r="C34" s="195"/>
      <c r="D34" s="197"/>
      <c r="E34" s="197"/>
      <c r="F34" s="197"/>
      <c r="G34" s="197"/>
      <c r="H34" s="197"/>
      <c r="I34" s="576"/>
      <c r="J34" s="197"/>
      <c r="K34" s="197"/>
    </row>
    <row r="35" spans="1:11" ht="18.75" x14ac:dyDescent="0.3">
      <c r="A35" s="197"/>
      <c r="B35" s="197"/>
      <c r="C35" s="195"/>
      <c r="D35" s="197"/>
      <c r="E35" s="197"/>
      <c r="F35" s="197"/>
      <c r="G35" s="197"/>
      <c r="H35" s="197"/>
      <c r="I35" s="576"/>
      <c r="J35" s="197"/>
      <c r="K35" s="197"/>
    </row>
    <row r="36" spans="1:11" ht="18.75" x14ac:dyDescent="0.3">
      <c r="A36" s="197"/>
      <c r="B36" s="197"/>
      <c r="C36" s="197"/>
      <c r="D36" s="197"/>
      <c r="E36" s="197"/>
      <c r="F36" s="197"/>
      <c r="G36" s="197"/>
      <c r="H36" s="197"/>
      <c r="I36" s="197"/>
      <c r="J36" s="197"/>
      <c r="K36" s="197"/>
    </row>
    <row r="37" spans="1:11" ht="18.75" x14ac:dyDescent="0.3">
      <c r="A37" s="195"/>
      <c r="B37" s="197"/>
      <c r="C37" s="197"/>
      <c r="D37" s="197"/>
      <c r="E37" s="197"/>
      <c r="F37" s="197"/>
      <c r="G37" s="197"/>
      <c r="H37" s="197"/>
      <c r="I37" s="576"/>
      <c r="J37" s="197"/>
      <c r="K37" s="197"/>
    </row>
    <row r="38" spans="1:11" ht="18.75" x14ac:dyDescent="0.3">
      <c r="A38" s="195"/>
      <c r="B38" s="197"/>
      <c r="C38" s="197"/>
      <c r="D38" s="197"/>
      <c r="E38" s="197"/>
      <c r="F38" s="197"/>
      <c r="G38" s="197"/>
      <c r="H38" s="197"/>
      <c r="I38" s="576"/>
      <c r="J38" s="197"/>
      <c r="K38" s="197"/>
    </row>
    <row r="39" spans="1:11" ht="18.75" x14ac:dyDescent="0.3">
      <c r="A39" s="195"/>
      <c r="B39" s="197"/>
      <c r="C39" s="197"/>
      <c r="D39" s="197"/>
      <c r="E39" s="197"/>
      <c r="F39" s="197"/>
      <c r="G39" s="197"/>
      <c r="H39" s="197"/>
      <c r="I39" s="576"/>
      <c r="J39" s="197"/>
      <c r="K39" s="197"/>
    </row>
    <row r="40" spans="1:11" ht="18.75" x14ac:dyDescent="0.3">
      <c r="A40" s="197"/>
      <c r="B40" s="197"/>
      <c r="C40" s="197"/>
      <c r="D40" s="197"/>
      <c r="E40" s="197"/>
      <c r="F40" s="197"/>
      <c r="G40" s="197"/>
      <c r="H40" s="197"/>
      <c r="I40" s="197"/>
      <c r="J40" s="197"/>
      <c r="K40" s="197"/>
    </row>
    <row r="41" spans="1:11" ht="18.75" x14ac:dyDescent="0.3">
      <c r="A41" s="195"/>
      <c r="B41" s="197"/>
      <c r="C41" s="197"/>
      <c r="D41" s="197"/>
      <c r="E41" s="197"/>
      <c r="F41" s="197"/>
      <c r="G41" s="197"/>
      <c r="H41" s="197"/>
      <c r="I41" s="576"/>
      <c r="J41" s="197"/>
      <c r="K41" s="197"/>
    </row>
  </sheetData>
  <pageMargins left="0.70866141732283472" right="0.70866141732283472" top="0.74803149606299213" bottom="0.74803149606299213" header="0.31496062992125984" footer="0.31496062992125984"/>
  <pageSetup scale="44" orientation="portrait" r:id="rId1"/>
  <headerFooter>
    <oddHeader xml:space="preserve">&amp;L
</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B2CF-E7DB-47E1-AF0E-F7683598008D}">
  <sheetPr filterMode="1"/>
  <dimension ref="A1:P1285"/>
  <sheetViews>
    <sheetView showGridLines="0" view="pageBreakPreview" zoomScale="80" zoomScaleNormal="100" zoomScaleSheetLayoutView="80" workbookViewId="0">
      <selection activeCell="D5" sqref="D5"/>
    </sheetView>
  </sheetViews>
  <sheetFormatPr defaultRowHeight="15" outlineLevelRow="1" x14ac:dyDescent="0.25"/>
  <cols>
    <col min="1" max="1" width="4.7109375" bestFit="1" customWidth="1"/>
    <col min="2" max="2" width="47.140625" bestFit="1" customWidth="1"/>
    <col min="6" max="6" width="8.7109375" bestFit="1" customWidth="1"/>
    <col min="7" max="7" width="3.42578125" bestFit="1" customWidth="1"/>
  </cols>
  <sheetData>
    <row r="1" spans="1:16" ht="15.75" customHeight="1" x14ac:dyDescent="0.25">
      <c r="O1" s="8"/>
      <c r="P1" s="157"/>
    </row>
    <row r="2" spans="1:16" ht="15.75" customHeight="1" x14ac:dyDescent="0.25"/>
    <row r="3" spans="1:16" ht="21.75" customHeight="1" x14ac:dyDescent="0.25">
      <c r="D3" s="571"/>
    </row>
    <row r="4" spans="1:16" ht="15.75" customHeight="1" x14ac:dyDescent="0.25">
      <c r="D4" s="571" t="s">
        <v>691</v>
      </c>
    </row>
    <row r="5" spans="1:16" ht="15.75" customHeight="1" x14ac:dyDescent="0.25">
      <c r="D5" s="572" t="s">
        <v>626</v>
      </c>
    </row>
    <row r="6" spans="1:16" ht="15.75" customHeight="1" x14ac:dyDescent="0.25">
      <c r="A6" s="31"/>
      <c r="D6" s="572" t="s">
        <v>627</v>
      </c>
    </row>
    <row r="7" spans="1:16" x14ac:dyDescent="0.25">
      <c r="A7" s="31"/>
    </row>
    <row r="8" spans="1:16" x14ac:dyDescent="0.25">
      <c r="A8" s="31"/>
    </row>
    <row r="9" spans="1:16" s="292" customFormat="1" ht="15.75" thickBot="1" x14ac:dyDescent="0.3">
      <c r="B9" s="293" t="s">
        <v>498</v>
      </c>
    </row>
    <row r="10" spans="1:16" s="292" customFormat="1" ht="15.75" thickTop="1" x14ac:dyDescent="0.25">
      <c r="B10" s="436" t="s">
        <v>499</v>
      </c>
      <c r="D10" s="441">
        <f>_xlfn.STDEV.P(D1226:D1247)</f>
        <v>8.563382469050064E-3</v>
      </c>
      <c r="F10" s="441">
        <f>_xlfn.STDEV.P(F1226:F1247)</f>
        <v>5.2088675219372554E-3</v>
      </c>
      <c r="G10"/>
    </row>
    <row r="11" spans="1:16" s="292" customFormat="1" x14ac:dyDescent="0.25">
      <c r="B11" s="437"/>
      <c r="G11"/>
    </row>
    <row r="12" spans="1:16" s="292" customFormat="1" x14ac:dyDescent="0.25">
      <c r="B12" s="437" t="s">
        <v>500</v>
      </c>
      <c r="D12" s="442">
        <f>CORREL(D1226:D1247,F1226:F1247)</f>
        <v>0.3001555602113628</v>
      </c>
      <c r="G12"/>
    </row>
    <row r="13" spans="1:16" s="292" customFormat="1" x14ac:dyDescent="0.25">
      <c r="B13" s="437"/>
      <c r="G13"/>
    </row>
    <row r="14" spans="1:16" s="292" customFormat="1" ht="15.75" thickBot="1" x14ac:dyDescent="0.3">
      <c r="B14" s="438" t="s">
        <v>501</v>
      </c>
      <c r="D14" s="442">
        <f>ROUND((D12*D10)/F10,3)</f>
        <v>0.49299999999999999</v>
      </c>
      <c r="G14"/>
    </row>
    <row r="15" spans="1:16" s="292" customFormat="1" ht="15.75" thickTop="1" x14ac:dyDescent="0.25">
      <c r="D15" s="439"/>
    </row>
    <row r="16" spans="1:16" s="292" customFormat="1" x14ac:dyDescent="0.25">
      <c r="B16" s="293" t="s">
        <v>502</v>
      </c>
      <c r="D16" s="439"/>
      <c r="F16" s="440" t="s">
        <v>39</v>
      </c>
    </row>
    <row r="17" spans="2:6" s="292" customFormat="1" x14ac:dyDescent="0.25">
      <c r="B17" s="294" t="s">
        <v>481</v>
      </c>
      <c r="C17" s="295"/>
      <c r="D17" s="442">
        <f>ROUND(SLOPE(D1226:D1247,F1226:F1247),3)</f>
        <v>0.49299999999999999</v>
      </c>
      <c r="F17" s="443" t="b">
        <f>D17=D14</f>
        <v>1</v>
      </c>
    </row>
    <row r="19" spans="2:6" x14ac:dyDescent="0.25">
      <c r="B19" s="444" t="s">
        <v>507</v>
      </c>
      <c r="C19" s="445"/>
      <c r="D19" s="441">
        <f>E1226/E998-1</f>
        <v>0.2095011858087108</v>
      </c>
    </row>
    <row r="21" spans="2:6" x14ac:dyDescent="0.25">
      <c r="B21" s="435" t="s">
        <v>573</v>
      </c>
      <c r="F21" s="297"/>
    </row>
    <row r="22" spans="2:6" x14ac:dyDescent="0.25">
      <c r="B22" s="435" t="s">
        <v>574</v>
      </c>
    </row>
    <row r="23" spans="2:6" x14ac:dyDescent="0.25">
      <c r="B23" s="53" t="s">
        <v>571</v>
      </c>
    </row>
    <row r="24" spans="2:6" x14ac:dyDescent="0.25">
      <c r="B24" s="53" t="s">
        <v>572</v>
      </c>
    </row>
    <row r="26" spans="2:6" ht="17.25" hidden="1" outlineLevel="1" x14ac:dyDescent="0.4">
      <c r="C26" s="433" t="s">
        <v>496</v>
      </c>
      <c r="D26" s="433"/>
      <c r="E26" s="433" t="s">
        <v>497</v>
      </c>
      <c r="F26" s="433"/>
    </row>
    <row r="27" spans="2:6" hidden="1" outlineLevel="1" x14ac:dyDescent="0.25">
      <c r="B27" s="434" t="s">
        <v>482</v>
      </c>
      <c r="C27" s="434" t="s">
        <v>504</v>
      </c>
      <c r="D27" s="434" t="s">
        <v>505</v>
      </c>
      <c r="E27" s="434" t="s">
        <v>504</v>
      </c>
      <c r="F27" s="434" t="s">
        <v>505</v>
      </c>
    </row>
    <row r="28" spans="2:6" hidden="1" outlineLevel="1" x14ac:dyDescent="0.25">
      <c r="B28" s="291">
        <v>43689</v>
      </c>
      <c r="C28">
        <v>70.730002999999996</v>
      </c>
      <c r="E28">
        <v>2882.6999510000001</v>
      </c>
    </row>
    <row r="29" spans="2:6" hidden="1" outlineLevel="1" x14ac:dyDescent="0.25">
      <c r="B29" s="291">
        <v>43690</v>
      </c>
      <c r="C29">
        <v>71.690002000000007</v>
      </c>
      <c r="D29" s="289">
        <f>C29/C28-1</f>
        <v>1.3572726697042681E-2</v>
      </c>
      <c r="E29">
        <v>2926.320068</v>
      </c>
      <c r="F29" s="289">
        <f>E29/E28-1</f>
        <v>1.5131688258040343E-2</v>
      </c>
    </row>
    <row r="30" spans="2:6" hidden="1" outlineLevel="1" x14ac:dyDescent="0.25">
      <c r="B30" s="291">
        <v>43691</v>
      </c>
      <c r="C30">
        <v>70.519997000000004</v>
      </c>
      <c r="D30" s="289">
        <f t="shared" ref="D30:F45" si="0">C30/C29-1</f>
        <v>-1.6320337109210881E-2</v>
      </c>
      <c r="E30">
        <v>2840.6000979999999</v>
      </c>
      <c r="F30" s="289">
        <f t="shared" si="0"/>
        <v>-2.9292752675063927E-2</v>
      </c>
    </row>
    <row r="31" spans="2:6" hidden="1" outlineLevel="1" x14ac:dyDescent="0.25">
      <c r="B31" s="291">
        <v>43692</v>
      </c>
      <c r="C31">
        <v>71.370002999999997</v>
      </c>
      <c r="D31" s="289">
        <f t="shared" si="0"/>
        <v>1.2053403802612106E-2</v>
      </c>
      <c r="E31">
        <v>2847.6000979999999</v>
      </c>
      <c r="F31" s="289">
        <f t="shared" si="0"/>
        <v>2.4642680273538886E-3</v>
      </c>
    </row>
    <row r="32" spans="2:6" hidden="1" outlineLevel="1" x14ac:dyDescent="0.25">
      <c r="B32" s="291">
        <v>43693</v>
      </c>
      <c r="C32">
        <v>72.279999000000004</v>
      </c>
      <c r="D32" s="289">
        <f t="shared" si="0"/>
        <v>1.2750398791492312E-2</v>
      </c>
      <c r="E32">
        <v>2888.679932</v>
      </c>
      <c r="F32" s="289">
        <f t="shared" si="0"/>
        <v>1.4426124661553574E-2</v>
      </c>
    </row>
    <row r="33" spans="2:6" hidden="1" outlineLevel="1" x14ac:dyDescent="0.25">
      <c r="B33" s="291">
        <v>43696</v>
      </c>
      <c r="C33">
        <v>73.080001999999993</v>
      </c>
      <c r="D33" s="289">
        <f t="shared" si="0"/>
        <v>1.1068110280410881E-2</v>
      </c>
      <c r="E33">
        <v>2923.6499020000001</v>
      </c>
      <c r="F33" s="289">
        <f t="shared" si="0"/>
        <v>1.2105865247517444E-2</v>
      </c>
    </row>
    <row r="34" spans="2:6" hidden="1" outlineLevel="1" x14ac:dyDescent="0.25">
      <c r="B34" s="291">
        <v>43697</v>
      </c>
      <c r="C34">
        <v>72.540001000000004</v>
      </c>
      <c r="D34" s="289">
        <f t="shared" si="0"/>
        <v>-7.3891760429890541E-3</v>
      </c>
      <c r="E34">
        <v>2900.51001</v>
      </c>
      <c r="F34" s="289">
        <f t="shared" si="0"/>
        <v>-7.9147274043210869E-3</v>
      </c>
    </row>
    <row r="35" spans="2:6" hidden="1" outlineLevel="1" x14ac:dyDescent="0.25">
      <c r="B35" s="291">
        <v>43698</v>
      </c>
      <c r="C35">
        <v>72.610000999999997</v>
      </c>
      <c r="D35" s="289">
        <f t="shared" si="0"/>
        <v>9.6498482264961716E-4</v>
      </c>
      <c r="E35">
        <v>2924.429932</v>
      </c>
      <c r="F35" s="289">
        <f t="shared" si="0"/>
        <v>8.2467986380092562E-3</v>
      </c>
    </row>
    <row r="36" spans="2:6" hidden="1" outlineLevel="1" x14ac:dyDescent="0.25">
      <c r="B36" s="291">
        <v>43699</v>
      </c>
      <c r="C36">
        <v>73.040001000000004</v>
      </c>
      <c r="D36" s="289">
        <f t="shared" si="0"/>
        <v>5.9220492229439259E-3</v>
      </c>
      <c r="E36">
        <v>2922.9499510000001</v>
      </c>
      <c r="F36" s="289">
        <f t="shared" si="0"/>
        <v>-5.0607504177324625E-4</v>
      </c>
    </row>
    <row r="37" spans="2:6" hidden="1" outlineLevel="1" x14ac:dyDescent="0.25">
      <c r="B37" s="291">
        <v>43700</v>
      </c>
      <c r="C37">
        <v>72.230002999999996</v>
      </c>
      <c r="D37" s="289">
        <f t="shared" si="0"/>
        <v>-1.1089786266569313E-2</v>
      </c>
      <c r="E37">
        <v>2847.110107</v>
      </c>
      <c r="F37" s="289">
        <f t="shared" si="0"/>
        <v>-2.59463368416738E-2</v>
      </c>
    </row>
    <row r="38" spans="2:6" hidden="1" outlineLevel="1" x14ac:dyDescent="0.25">
      <c r="B38" s="291">
        <v>43703</v>
      </c>
      <c r="C38">
        <v>72.769997000000004</v>
      </c>
      <c r="D38" s="289">
        <f t="shared" si="0"/>
        <v>7.4760345780411352E-3</v>
      </c>
      <c r="E38">
        <v>2878.3798830000001</v>
      </c>
      <c r="F38" s="289">
        <f t="shared" si="0"/>
        <v>1.098298795087671E-2</v>
      </c>
    </row>
    <row r="39" spans="2:6" hidden="1" outlineLevel="1" x14ac:dyDescent="0.25">
      <c r="B39" s="291">
        <v>43704</v>
      </c>
      <c r="C39">
        <v>73.440002000000007</v>
      </c>
      <c r="D39" s="289">
        <f t="shared" si="0"/>
        <v>9.2071599233405355E-3</v>
      </c>
      <c r="E39">
        <v>2869.1599120000001</v>
      </c>
      <c r="F39" s="289">
        <f t="shared" si="0"/>
        <v>-3.2031807387391531E-3</v>
      </c>
    </row>
    <row r="40" spans="2:6" hidden="1" outlineLevel="1" x14ac:dyDescent="0.25">
      <c r="B40" s="291">
        <v>43705</v>
      </c>
      <c r="C40">
        <v>74</v>
      </c>
      <c r="D40" s="289">
        <f t="shared" si="0"/>
        <v>7.6252448903799674E-3</v>
      </c>
      <c r="E40">
        <v>2887.9399410000001</v>
      </c>
      <c r="F40" s="289">
        <f t="shared" si="0"/>
        <v>6.5454800624580312E-3</v>
      </c>
    </row>
    <row r="41" spans="2:6" hidden="1" outlineLevel="1" x14ac:dyDescent="0.25">
      <c r="B41" s="291">
        <v>43706</v>
      </c>
      <c r="C41">
        <v>74.199996999999996</v>
      </c>
      <c r="D41" s="289">
        <f t="shared" si="0"/>
        <v>2.7026621621621949E-3</v>
      </c>
      <c r="E41">
        <v>2924.580078</v>
      </c>
      <c r="F41" s="289">
        <f t="shared" si="0"/>
        <v>1.2687291892681252E-2</v>
      </c>
    </row>
    <row r="42" spans="2:6" hidden="1" outlineLevel="1" x14ac:dyDescent="0.25">
      <c r="B42" s="291">
        <v>43707</v>
      </c>
      <c r="C42">
        <v>74.150002000000001</v>
      </c>
      <c r="D42" s="289">
        <f t="shared" si="0"/>
        <v>-6.7378708923659936E-4</v>
      </c>
      <c r="E42">
        <v>2926.459961</v>
      </c>
      <c r="F42" s="289">
        <f t="shared" si="0"/>
        <v>6.4278732326106258E-4</v>
      </c>
    </row>
    <row r="43" spans="2:6" hidden="1" outlineLevel="1" x14ac:dyDescent="0.25">
      <c r="B43" s="291">
        <v>43711</v>
      </c>
      <c r="C43">
        <v>74.309997999999993</v>
      </c>
      <c r="D43" s="289">
        <f t="shared" si="0"/>
        <v>2.157734264120359E-3</v>
      </c>
      <c r="E43">
        <v>2906.2700199999999</v>
      </c>
      <c r="F43" s="289">
        <f t="shared" si="0"/>
        <v>-6.8991003700938913E-3</v>
      </c>
    </row>
    <row r="44" spans="2:6" hidden="1" outlineLevel="1" x14ac:dyDescent="0.25">
      <c r="B44" s="291">
        <v>43712</v>
      </c>
      <c r="C44">
        <v>74.870002999999997</v>
      </c>
      <c r="D44" s="289">
        <f t="shared" si="0"/>
        <v>7.5360653353806484E-3</v>
      </c>
      <c r="E44">
        <v>2937.780029</v>
      </c>
      <c r="F44" s="289">
        <f t="shared" si="0"/>
        <v>1.0842078947640221E-2</v>
      </c>
    </row>
    <row r="45" spans="2:6" hidden="1" outlineLevel="1" x14ac:dyDescent="0.25">
      <c r="B45" s="291">
        <v>43713</v>
      </c>
      <c r="C45">
        <v>74.290001000000004</v>
      </c>
      <c r="D45" s="289">
        <f t="shared" si="0"/>
        <v>-7.74678745505053E-3</v>
      </c>
      <c r="E45">
        <v>2976</v>
      </c>
      <c r="F45" s="289">
        <f t="shared" si="0"/>
        <v>1.3009813744635501E-2</v>
      </c>
    </row>
    <row r="46" spans="2:6" hidden="1" outlineLevel="1" x14ac:dyDescent="0.25">
      <c r="B46" s="291">
        <v>43714</v>
      </c>
      <c r="C46">
        <v>74.699996999999996</v>
      </c>
      <c r="D46" s="289">
        <f t="shared" ref="D46:F61" si="1">C46/C45-1</f>
        <v>5.5188584531045137E-3</v>
      </c>
      <c r="E46">
        <v>2978.709961</v>
      </c>
      <c r="F46" s="289">
        <f t="shared" si="1"/>
        <v>9.1060517473118274E-4</v>
      </c>
    </row>
    <row r="47" spans="2:6" hidden="1" outlineLevel="1" x14ac:dyDescent="0.25">
      <c r="B47" s="291">
        <v>43717</v>
      </c>
      <c r="C47">
        <v>73.190002000000007</v>
      </c>
      <c r="D47" s="289">
        <f t="shared" si="1"/>
        <v>-2.0214123971115994E-2</v>
      </c>
      <c r="E47">
        <v>2978.429932</v>
      </c>
      <c r="F47" s="289">
        <f t="shared" si="1"/>
        <v>-9.4010159990887132E-5</v>
      </c>
    </row>
    <row r="48" spans="2:6" hidden="1" outlineLevel="1" x14ac:dyDescent="0.25">
      <c r="B48" s="291">
        <v>43718</v>
      </c>
      <c r="C48">
        <v>72.120002999999997</v>
      </c>
      <c r="D48" s="289">
        <f t="shared" si="1"/>
        <v>-1.461946947343995E-2</v>
      </c>
      <c r="E48">
        <v>2979.389893</v>
      </c>
      <c r="F48" s="289">
        <f t="shared" si="1"/>
        <v>3.2230437576741267E-4</v>
      </c>
    </row>
    <row r="49" spans="2:6" hidden="1" outlineLevel="1" x14ac:dyDescent="0.25">
      <c r="B49" s="291">
        <v>43719</v>
      </c>
      <c r="C49">
        <v>72.849997999999999</v>
      </c>
      <c r="D49" s="289">
        <f t="shared" si="1"/>
        <v>1.0121949107517514E-2</v>
      </c>
      <c r="E49">
        <v>3000.929932</v>
      </c>
      <c r="F49" s="289">
        <f t="shared" si="1"/>
        <v>7.2296811674792405E-3</v>
      </c>
    </row>
    <row r="50" spans="2:6" hidden="1" outlineLevel="1" x14ac:dyDescent="0.25">
      <c r="B50" s="291">
        <v>43720</v>
      </c>
      <c r="C50">
        <v>72.290001000000004</v>
      </c>
      <c r="D50" s="289">
        <f t="shared" si="1"/>
        <v>-7.6869871705418369E-3</v>
      </c>
      <c r="E50">
        <v>3009.570068</v>
      </c>
      <c r="F50" s="289">
        <f t="shared" si="1"/>
        <v>2.8791528612071016E-3</v>
      </c>
    </row>
    <row r="51" spans="2:6" hidden="1" outlineLevel="1" x14ac:dyDescent="0.25">
      <c r="B51" s="291">
        <v>43721</v>
      </c>
      <c r="C51">
        <v>70.709998999999996</v>
      </c>
      <c r="D51" s="289">
        <f t="shared" si="1"/>
        <v>-2.1856439039197206E-2</v>
      </c>
      <c r="E51">
        <v>3007.389893</v>
      </c>
      <c r="F51" s="289">
        <f t="shared" si="1"/>
        <v>-7.2441410259271866E-4</v>
      </c>
    </row>
    <row r="52" spans="2:6" hidden="1" outlineLevel="1" x14ac:dyDescent="0.25">
      <c r="B52" s="291">
        <v>43724</v>
      </c>
      <c r="C52">
        <v>69.430000000000007</v>
      </c>
      <c r="D52" s="289">
        <f t="shared" si="1"/>
        <v>-1.8102093312149403E-2</v>
      </c>
      <c r="E52">
        <v>2997.959961</v>
      </c>
      <c r="F52" s="289">
        <f t="shared" si="1"/>
        <v>-3.1355867830603623E-3</v>
      </c>
    </row>
    <row r="53" spans="2:6" hidden="1" outlineLevel="1" x14ac:dyDescent="0.25">
      <c r="B53" s="291">
        <v>43725</v>
      </c>
      <c r="C53">
        <v>69.860000999999997</v>
      </c>
      <c r="D53" s="289">
        <f t="shared" si="1"/>
        <v>6.1933026069420638E-3</v>
      </c>
      <c r="E53">
        <v>3005.6999510000001</v>
      </c>
      <c r="F53" s="289">
        <f t="shared" si="1"/>
        <v>2.5817522917879199E-3</v>
      </c>
    </row>
    <row r="54" spans="2:6" hidden="1" outlineLevel="1" x14ac:dyDescent="0.25">
      <c r="B54" s="291">
        <v>43726</v>
      </c>
      <c r="C54">
        <v>70.75</v>
      </c>
      <c r="D54" s="289">
        <f t="shared" si="1"/>
        <v>1.2739750748071099E-2</v>
      </c>
      <c r="E54">
        <v>3006.7299800000001</v>
      </c>
      <c r="F54" s="289">
        <f t="shared" si="1"/>
        <v>3.4269189100433195E-4</v>
      </c>
    </row>
    <row r="55" spans="2:6" hidden="1" outlineLevel="1" x14ac:dyDescent="0.25">
      <c r="B55" s="291">
        <v>43727</v>
      </c>
      <c r="C55">
        <v>70.949996999999996</v>
      </c>
      <c r="D55" s="289">
        <f t="shared" si="1"/>
        <v>2.8268127208479488E-3</v>
      </c>
      <c r="E55">
        <v>3006.790039</v>
      </c>
      <c r="F55" s="289">
        <f t="shared" si="1"/>
        <v>1.9974856538373942E-5</v>
      </c>
    </row>
    <row r="56" spans="2:6" hidden="1" outlineLevel="1" x14ac:dyDescent="0.25">
      <c r="B56" s="291">
        <v>43728</v>
      </c>
      <c r="C56">
        <v>70.949996999999996</v>
      </c>
      <c r="D56" s="289">
        <f t="shared" si="1"/>
        <v>0</v>
      </c>
      <c r="E56">
        <v>2992.070068</v>
      </c>
      <c r="F56" s="289">
        <f t="shared" si="1"/>
        <v>-4.8955766146197011E-3</v>
      </c>
    </row>
    <row r="57" spans="2:6" hidden="1" outlineLevel="1" x14ac:dyDescent="0.25">
      <c r="B57" s="291">
        <v>43731</v>
      </c>
      <c r="C57">
        <v>71.5</v>
      </c>
      <c r="D57" s="289">
        <f t="shared" si="1"/>
        <v>7.7519805955734711E-3</v>
      </c>
      <c r="E57">
        <v>2991.780029</v>
      </c>
      <c r="F57" s="289">
        <f t="shared" si="1"/>
        <v>-9.6935898360794859E-5</v>
      </c>
    </row>
    <row r="58" spans="2:6" hidden="1" outlineLevel="1" x14ac:dyDescent="0.25">
      <c r="B58" s="291">
        <v>43732</v>
      </c>
      <c r="C58">
        <v>72.489998</v>
      </c>
      <c r="D58" s="289">
        <f t="shared" si="1"/>
        <v>1.3846125874125814E-2</v>
      </c>
      <c r="E58">
        <v>2966.6000979999999</v>
      </c>
      <c r="F58" s="289">
        <f t="shared" si="1"/>
        <v>-8.4163711088132143E-3</v>
      </c>
    </row>
    <row r="59" spans="2:6" hidden="1" outlineLevel="1" x14ac:dyDescent="0.25">
      <c r="B59" s="291">
        <v>43733</v>
      </c>
      <c r="C59">
        <v>72.239998</v>
      </c>
      <c r="D59" s="289">
        <f t="shared" si="1"/>
        <v>-3.4487516470893542E-3</v>
      </c>
      <c r="E59">
        <v>2984.8701169999999</v>
      </c>
      <c r="F59" s="289">
        <f t="shared" si="1"/>
        <v>6.1585715622125559E-3</v>
      </c>
    </row>
    <row r="60" spans="2:6" hidden="1" outlineLevel="1" x14ac:dyDescent="0.25">
      <c r="B60" s="291">
        <v>43734</v>
      </c>
      <c r="C60">
        <v>72.720000999999996</v>
      </c>
      <c r="D60" s="289">
        <f t="shared" si="1"/>
        <v>6.6445599846223224E-3</v>
      </c>
      <c r="E60">
        <v>2977.6201169999999</v>
      </c>
      <c r="F60" s="289">
        <f t="shared" si="1"/>
        <v>-2.4289164070183666E-3</v>
      </c>
    </row>
    <row r="61" spans="2:6" hidden="1" outlineLevel="1" x14ac:dyDescent="0.25">
      <c r="B61" s="291">
        <v>43735</v>
      </c>
      <c r="C61">
        <v>73.260002</v>
      </c>
      <c r="D61" s="289">
        <f t="shared" si="1"/>
        <v>7.425756223518265E-3</v>
      </c>
      <c r="E61">
        <v>2961.790039</v>
      </c>
      <c r="F61" s="289">
        <f t="shared" si="1"/>
        <v>-5.3163524485954072E-3</v>
      </c>
    </row>
    <row r="62" spans="2:6" hidden="1" outlineLevel="1" x14ac:dyDescent="0.25">
      <c r="B62" s="291">
        <v>43738</v>
      </c>
      <c r="C62">
        <v>73.510002</v>
      </c>
      <c r="D62" s="289">
        <f t="shared" ref="D62:F77" si="2">C62/C61-1</f>
        <v>3.4125033193419529E-3</v>
      </c>
      <c r="E62">
        <v>2976.73999</v>
      </c>
      <c r="F62" s="289">
        <f t="shared" si="2"/>
        <v>5.0476066173306133E-3</v>
      </c>
    </row>
    <row r="63" spans="2:6" hidden="1" outlineLevel="1" x14ac:dyDescent="0.25">
      <c r="B63" s="291">
        <v>43739</v>
      </c>
      <c r="C63">
        <v>71.730002999999996</v>
      </c>
      <c r="D63" s="289">
        <f t="shared" si="2"/>
        <v>-2.4214378337250042E-2</v>
      </c>
      <c r="E63">
        <v>2940.25</v>
      </c>
      <c r="F63" s="289">
        <f t="shared" si="2"/>
        <v>-1.2258373295142899E-2</v>
      </c>
    </row>
    <row r="64" spans="2:6" hidden="1" outlineLevel="1" x14ac:dyDescent="0.25">
      <c r="B64" s="291">
        <v>43740</v>
      </c>
      <c r="C64">
        <v>70.519997000000004</v>
      </c>
      <c r="D64" s="289">
        <f t="shared" si="2"/>
        <v>-1.6868896548073331E-2</v>
      </c>
      <c r="E64">
        <v>2887.610107</v>
      </c>
      <c r="F64" s="289">
        <f t="shared" si="2"/>
        <v>-1.7903203128985634E-2</v>
      </c>
    </row>
    <row r="65" spans="2:6" hidden="1" outlineLevel="1" x14ac:dyDescent="0.25">
      <c r="B65" s="291">
        <v>43741</v>
      </c>
      <c r="C65">
        <v>70.870002999999997</v>
      </c>
      <c r="D65" s="289">
        <f t="shared" si="2"/>
        <v>4.9632163200459267E-3</v>
      </c>
      <c r="E65">
        <v>2910.6298830000001</v>
      </c>
      <c r="F65" s="289">
        <f t="shared" si="2"/>
        <v>7.9719128092108349E-3</v>
      </c>
    </row>
    <row r="66" spans="2:6" hidden="1" outlineLevel="1" x14ac:dyDescent="0.25">
      <c r="B66" s="291">
        <v>43742</v>
      </c>
      <c r="C66">
        <v>72.069999999999993</v>
      </c>
      <c r="D66" s="289">
        <f t="shared" si="2"/>
        <v>1.6932368409805054E-2</v>
      </c>
      <c r="E66">
        <v>2952.01001</v>
      </c>
      <c r="F66" s="289">
        <f t="shared" si="2"/>
        <v>1.4216897600648926E-2</v>
      </c>
    </row>
    <row r="67" spans="2:6" hidden="1" outlineLevel="1" x14ac:dyDescent="0.25">
      <c r="B67" s="291">
        <v>43745</v>
      </c>
      <c r="C67">
        <v>71.620002999999997</v>
      </c>
      <c r="D67" s="289">
        <f t="shared" si="2"/>
        <v>-6.2438878867766556E-3</v>
      </c>
      <c r="E67">
        <v>2938.790039</v>
      </c>
      <c r="F67" s="289">
        <f t="shared" si="2"/>
        <v>-4.4782947738040146E-3</v>
      </c>
    </row>
    <row r="68" spans="2:6" hidden="1" outlineLevel="1" x14ac:dyDescent="0.25">
      <c r="B68" s="291">
        <v>43746</v>
      </c>
      <c r="C68">
        <v>70.680000000000007</v>
      </c>
      <c r="D68" s="289">
        <f t="shared" si="2"/>
        <v>-1.3124866805716118E-2</v>
      </c>
      <c r="E68">
        <v>2893.0600589999999</v>
      </c>
      <c r="F68" s="289">
        <f t="shared" si="2"/>
        <v>-1.5560819042234386E-2</v>
      </c>
    </row>
    <row r="69" spans="2:6" hidden="1" outlineLevel="1" x14ac:dyDescent="0.25">
      <c r="B69" s="291">
        <v>43747</v>
      </c>
      <c r="C69">
        <v>70.629997000000003</v>
      </c>
      <c r="D69" s="289">
        <f t="shared" si="2"/>
        <v>-7.0745614035094828E-4</v>
      </c>
      <c r="E69">
        <v>2919.3999020000001</v>
      </c>
      <c r="F69" s="289">
        <f t="shared" si="2"/>
        <v>9.1044922894218949E-3</v>
      </c>
    </row>
    <row r="70" spans="2:6" hidden="1" outlineLevel="1" x14ac:dyDescent="0.25">
      <c r="B70" s="291">
        <v>43748</v>
      </c>
      <c r="C70">
        <v>70.769997000000004</v>
      </c>
      <c r="D70" s="289">
        <f t="shared" si="2"/>
        <v>1.9821606391969837E-3</v>
      </c>
      <c r="E70">
        <v>2938.1298830000001</v>
      </c>
      <c r="F70" s="289">
        <f t="shared" si="2"/>
        <v>6.4156955637246771E-3</v>
      </c>
    </row>
    <row r="71" spans="2:6" hidden="1" outlineLevel="1" x14ac:dyDescent="0.25">
      <c r="B71" s="291">
        <v>43749</v>
      </c>
      <c r="C71">
        <v>70.510002</v>
      </c>
      <c r="D71" s="289">
        <f t="shared" si="2"/>
        <v>-3.673802614404531E-3</v>
      </c>
      <c r="E71">
        <v>2970.2700199999999</v>
      </c>
      <c r="F71" s="289">
        <f t="shared" si="2"/>
        <v>1.0938977608158984E-2</v>
      </c>
    </row>
    <row r="72" spans="2:6" hidden="1" outlineLevel="1" x14ac:dyDescent="0.25">
      <c r="B72" s="291">
        <v>43752</v>
      </c>
      <c r="C72">
        <v>69.410004000000001</v>
      </c>
      <c r="D72" s="289">
        <f t="shared" si="2"/>
        <v>-1.5600595217682756E-2</v>
      </c>
      <c r="E72">
        <v>2966.1499020000001</v>
      </c>
      <c r="F72" s="289">
        <f t="shared" si="2"/>
        <v>-1.3871190067763495E-3</v>
      </c>
    </row>
    <row r="73" spans="2:6" hidden="1" outlineLevel="1" x14ac:dyDescent="0.25">
      <c r="B73" s="291">
        <v>43753</v>
      </c>
      <c r="C73">
        <v>68.400002000000001</v>
      </c>
      <c r="D73" s="289">
        <f t="shared" si="2"/>
        <v>-1.4551245379556543E-2</v>
      </c>
      <c r="E73">
        <v>2995.679932</v>
      </c>
      <c r="F73" s="289">
        <f t="shared" si="2"/>
        <v>9.9556768793407358E-3</v>
      </c>
    </row>
    <row r="74" spans="2:6" hidden="1" outlineLevel="1" x14ac:dyDescent="0.25">
      <c r="B74" s="291">
        <v>43754</v>
      </c>
      <c r="C74">
        <v>67.849997999999999</v>
      </c>
      <c r="D74" s="289">
        <f t="shared" si="2"/>
        <v>-8.0409939169300282E-3</v>
      </c>
      <c r="E74">
        <v>2989.6899410000001</v>
      </c>
      <c r="F74" s="289">
        <f t="shared" si="2"/>
        <v>-1.9995430539873071E-3</v>
      </c>
    </row>
    <row r="75" spans="2:6" hidden="1" outlineLevel="1" x14ac:dyDescent="0.25">
      <c r="B75" s="291">
        <v>43755</v>
      </c>
      <c r="C75">
        <v>68.080001999999993</v>
      </c>
      <c r="D75" s="289">
        <f t="shared" si="2"/>
        <v>3.3898895619715042E-3</v>
      </c>
      <c r="E75">
        <v>2997.9499510000001</v>
      </c>
      <c r="F75" s="289">
        <f t="shared" si="2"/>
        <v>2.7628316524479501E-3</v>
      </c>
    </row>
    <row r="76" spans="2:6" hidden="1" outlineLevel="1" x14ac:dyDescent="0.25">
      <c r="B76" s="291">
        <v>43756</v>
      </c>
      <c r="C76">
        <v>68.029999000000004</v>
      </c>
      <c r="D76" s="289">
        <f t="shared" si="2"/>
        <v>-7.3447412648419697E-4</v>
      </c>
      <c r="E76">
        <v>2986.1999510000001</v>
      </c>
      <c r="F76" s="289">
        <f t="shared" si="2"/>
        <v>-3.9193449497315624E-3</v>
      </c>
    </row>
    <row r="77" spans="2:6" hidden="1" outlineLevel="1" x14ac:dyDescent="0.25">
      <c r="B77" s="291">
        <v>43759</v>
      </c>
      <c r="C77">
        <v>68.300003000000004</v>
      </c>
      <c r="D77" s="289">
        <f t="shared" si="2"/>
        <v>3.9688961336012962E-3</v>
      </c>
      <c r="E77">
        <v>3006.719971</v>
      </c>
      <c r="F77" s="289">
        <f t="shared" si="2"/>
        <v>6.8716162134849768E-3</v>
      </c>
    </row>
    <row r="78" spans="2:6" hidden="1" outlineLevel="1" x14ac:dyDescent="0.25">
      <c r="B78" s="291">
        <v>43760</v>
      </c>
      <c r="C78">
        <v>67.059997999999993</v>
      </c>
      <c r="D78" s="289">
        <f t="shared" ref="D78:F93" si="3">C78/C77-1</f>
        <v>-1.8155270066386509E-2</v>
      </c>
      <c r="E78">
        <v>2995.98999</v>
      </c>
      <c r="F78" s="289">
        <f t="shared" si="3"/>
        <v>-3.5686665547477459E-3</v>
      </c>
    </row>
    <row r="79" spans="2:6" hidden="1" outlineLevel="1" x14ac:dyDescent="0.25">
      <c r="B79" s="291">
        <v>43761</v>
      </c>
      <c r="C79">
        <v>67.540001000000004</v>
      </c>
      <c r="D79" s="289">
        <f t="shared" si="3"/>
        <v>7.1578141114769789E-3</v>
      </c>
      <c r="E79">
        <v>3004.5200199999999</v>
      </c>
      <c r="F79" s="289">
        <f t="shared" si="3"/>
        <v>2.847149032029872E-3</v>
      </c>
    </row>
    <row r="80" spans="2:6" hidden="1" outlineLevel="1" x14ac:dyDescent="0.25">
      <c r="B80" s="291">
        <v>43762</v>
      </c>
      <c r="C80">
        <v>68.339995999999999</v>
      </c>
      <c r="D80" s="289">
        <f t="shared" si="3"/>
        <v>1.1844758486159845E-2</v>
      </c>
      <c r="E80">
        <v>3010.290039</v>
      </c>
      <c r="F80" s="289">
        <f t="shared" si="3"/>
        <v>1.9204461816166862E-3</v>
      </c>
    </row>
    <row r="81" spans="2:6" hidden="1" outlineLevel="1" x14ac:dyDescent="0.25">
      <c r="B81" s="291">
        <v>43763</v>
      </c>
      <c r="C81">
        <v>68.410004000000001</v>
      </c>
      <c r="D81" s="289">
        <f t="shared" si="3"/>
        <v>1.0244074348497723E-3</v>
      </c>
      <c r="E81">
        <v>3022.5500489999999</v>
      </c>
      <c r="F81" s="289">
        <f t="shared" si="3"/>
        <v>4.072700584051514E-3</v>
      </c>
    </row>
    <row r="82" spans="2:6" hidden="1" outlineLevel="1" x14ac:dyDescent="0.25">
      <c r="B82" s="291">
        <v>43766</v>
      </c>
      <c r="C82">
        <v>67.349997999999999</v>
      </c>
      <c r="D82" s="289">
        <f t="shared" si="3"/>
        <v>-1.5494897500663796E-2</v>
      </c>
      <c r="E82">
        <v>3039.419922</v>
      </c>
      <c r="F82" s="289">
        <f t="shared" si="3"/>
        <v>5.5813378526456958E-3</v>
      </c>
    </row>
    <row r="83" spans="2:6" hidden="1" outlineLevel="1" x14ac:dyDescent="0.25">
      <c r="B83" s="291">
        <v>43767</v>
      </c>
      <c r="C83">
        <v>67.919998000000007</v>
      </c>
      <c r="D83" s="289">
        <f t="shared" si="3"/>
        <v>8.4632519217002766E-3</v>
      </c>
      <c r="E83">
        <v>3036.889893</v>
      </c>
      <c r="F83" s="289">
        <f t="shared" si="3"/>
        <v>-8.3240521708993764E-4</v>
      </c>
    </row>
    <row r="84" spans="2:6" hidden="1" outlineLevel="1" x14ac:dyDescent="0.25">
      <c r="B84" s="291">
        <v>43768</v>
      </c>
      <c r="C84">
        <v>68.580001999999993</v>
      </c>
      <c r="D84" s="289">
        <f t="shared" si="3"/>
        <v>9.7173736665892019E-3</v>
      </c>
      <c r="E84">
        <v>3046.7700199999999</v>
      </c>
      <c r="F84" s="289">
        <f t="shared" si="3"/>
        <v>3.2533701741288557E-3</v>
      </c>
    </row>
    <row r="85" spans="2:6" hidden="1" outlineLevel="1" x14ac:dyDescent="0.25">
      <c r="B85" s="291">
        <v>43769</v>
      </c>
      <c r="C85">
        <v>68.599997999999999</v>
      </c>
      <c r="D85" s="289">
        <f t="shared" si="3"/>
        <v>2.9157187834449871E-4</v>
      </c>
      <c r="E85">
        <v>3037.5600589999999</v>
      </c>
      <c r="F85" s="289">
        <f t="shared" si="3"/>
        <v>-3.0228605833531041E-3</v>
      </c>
    </row>
    <row r="86" spans="2:6" hidden="1" outlineLevel="1" x14ac:dyDescent="0.25">
      <c r="B86" s="291">
        <v>43770</v>
      </c>
      <c r="C86">
        <v>66.809997999999993</v>
      </c>
      <c r="D86" s="289">
        <f t="shared" si="3"/>
        <v>-2.6093295221378932E-2</v>
      </c>
      <c r="E86">
        <v>3066.9099120000001</v>
      </c>
      <c r="F86" s="289">
        <f t="shared" si="3"/>
        <v>9.6623119971042115E-3</v>
      </c>
    </row>
    <row r="87" spans="2:6" hidden="1" outlineLevel="1" x14ac:dyDescent="0.25">
      <c r="B87" s="291">
        <v>43773</v>
      </c>
      <c r="C87">
        <v>65.410004000000001</v>
      </c>
      <c r="D87" s="289">
        <f t="shared" si="3"/>
        <v>-2.0954857684623684E-2</v>
      </c>
      <c r="E87">
        <v>3078.2700199999999</v>
      </c>
      <c r="F87" s="289">
        <f t="shared" si="3"/>
        <v>3.7040892383408686E-3</v>
      </c>
    </row>
    <row r="88" spans="2:6" hidden="1" outlineLevel="1" x14ac:dyDescent="0.25">
      <c r="B88" s="291">
        <v>43774</v>
      </c>
      <c r="C88">
        <v>65.959998999999996</v>
      </c>
      <c r="D88" s="289">
        <f t="shared" si="3"/>
        <v>8.4084232742134279E-3</v>
      </c>
      <c r="E88">
        <v>3074.6201169999999</v>
      </c>
      <c r="F88" s="289">
        <f t="shared" si="3"/>
        <v>-1.1856994273685695E-3</v>
      </c>
    </row>
    <row r="89" spans="2:6" hidden="1" outlineLevel="1" x14ac:dyDescent="0.25">
      <c r="B89" s="291">
        <v>43775</v>
      </c>
      <c r="C89">
        <v>66.519997000000004</v>
      </c>
      <c r="D89" s="289">
        <f t="shared" si="3"/>
        <v>8.4899637430255748E-3</v>
      </c>
      <c r="E89">
        <v>3076.780029</v>
      </c>
      <c r="F89" s="289">
        <f t="shared" si="3"/>
        <v>7.0249719243609121E-4</v>
      </c>
    </row>
    <row r="90" spans="2:6" hidden="1" outlineLevel="1" x14ac:dyDescent="0.25">
      <c r="B90" s="291">
        <v>43776</v>
      </c>
      <c r="C90">
        <v>66.870002999999997</v>
      </c>
      <c r="D90" s="289">
        <f t="shared" si="3"/>
        <v>5.2616659017588052E-3</v>
      </c>
      <c r="E90">
        <v>3085.179932</v>
      </c>
      <c r="F90" s="289">
        <f t="shared" si="3"/>
        <v>2.7300953987048349E-3</v>
      </c>
    </row>
    <row r="91" spans="2:6" hidden="1" outlineLevel="1" x14ac:dyDescent="0.25">
      <c r="B91" s="291">
        <v>43777</v>
      </c>
      <c r="C91">
        <v>66.629997000000003</v>
      </c>
      <c r="D91" s="289">
        <f t="shared" si="3"/>
        <v>-3.5891429524833596E-3</v>
      </c>
      <c r="E91">
        <v>3093.080078</v>
      </c>
      <c r="F91" s="289">
        <f t="shared" si="3"/>
        <v>2.5606759327254647E-3</v>
      </c>
    </row>
    <row r="92" spans="2:6" hidden="1" outlineLevel="1" x14ac:dyDescent="0.25">
      <c r="B92" s="291">
        <v>43780</v>
      </c>
      <c r="C92">
        <v>66.540001000000004</v>
      </c>
      <c r="D92" s="289">
        <f t="shared" si="3"/>
        <v>-1.3506829363957307E-3</v>
      </c>
      <c r="E92">
        <v>3087.01001</v>
      </c>
      <c r="F92" s="289">
        <f t="shared" si="3"/>
        <v>-1.9624671353238865E-3</v>
      </c>
    </row>
    <row r="93" spans="2:6" hidden="1" outlineLevel="1" x14ac:dyDescent="0.25">
      <c r="B93" s="291">
        <v>43781</v>
      </c>
      <c r="C93">
        <v>66.639999000000003</v>
      </c>
      <c r="D93" s="289">
        <f t="shared" si="3"/>
        <v>1.5028253456141893E-3</v>
      </c>
      <c r="E93">
        <v>3091.8400879999999</v>
      </c>
      <c r="F93" s="289">
        <f t="shared" si="3"/>
        <v>1.5646460440210674E-3</v>
      </c>
    </row>
    <row r="94" spans="2:6" hidden="1" outlineLevel="1" x14ac:dyDescent="0.25">
      <c r="B94" s="291">
        <v>43782</v>
      </c>
      <c r="C94">
        <v>66.879997000000003</v>
      </c>
      <c r="D94" s="289">
        <f t="shared" ref="D94:F109" si="4">C94/C93-1</f>
        <v>3.6014106182684635E-3</v>
      </c>
      <c r="E94">
        <v>3094.040039</v>
      </c>
      <c r="F94" s="289">
        <f t="shared" si="4"/>
        <v>7.1153453522332377E-4</v>
      </c>
    </row>
    <row r="95" spans="2:6" hidden="1" outlineLevel="1" x14ac:dyDescent="0.25">
      <c r="B95" s="291">
        <v>43783</v>
      </c>
      <c r="C95">
        <v>66.639999000000003</v>
      </c>
      <c r="D95" s="289">
        <f t="shared" si="4"/>
        <v>-3.5884870030721272E-3</v>
      </c>
      <c r="E95">
        <v>3096.6298830000001</v>
      </c>
      <c r="F95" s="289">
        <f t="shared" si="4"/>
        <v>8.3704282018182141E-4</v>
      </c>
    </row>
    <row r="96" spans="2:6" hidden="1" outlineLevel="1" x14ac:dyDescent="0.25">
      <c r="B96" s="291">
        <v>43784</v>
      </c>
      <c r="C96">
        <v>66.370002999999997</v>
      </c>
      <c r="D96" s="289">
        <f t="shared" si="4"/>
        <v>-4.0515606850475283E-3</v>
      </c>
      <c r="E96">
        <v>3120.459961</v>
      </c>
      <c r="F96" s="289">
        <f t="shared" si="4"/>
        <v>7.6954879660702247E-3</v>
      </c>
    </row>
    <row r="97" spans="2:6" hidden="1" outlineLevel="1" x14ac:dyDescent="0.25">
      <c r="B97" s="291">
        <v>43787</v>
      </c>
      <c r="C97">
        <v>67.129997000000003</v>
      </c>
      <c r="D97" s="289">
        <f t="shared" si="4"/>
        <v>1.1450865837688839E-2</v>
      </c>
      <c r="E97">
        <v>3122.030029</v>
      </c>
      <c r="F97" s="289">
        <f t="shared" si="4"/>
        <v>5.0315274658951914E-4</v>
      </c>
    </row>
    <row r="98" spans="2:6" hidden="1" outlineLevel="1" x14ac:dyDescent="0.25">
      <c r="B98" s="291">
        <v>43788</v>
      </c>
      <c r="C98">
        <v>67.160004000000001</v>
      </c>
      <c r="D98" s="289">
        <f t="shared" si="4"/>
        <v>4.4699838136441628E-4</v>
      </c>
      <c r="E98">
        <v>3120.179932</v>
      </c>
      <c r="F98" s="289">
        <f t="shared" si="4"/>
        <v>-5.9259423606272676E-4</v>
      </c>
    </row>
    <row r="99" spans="2:6" hidden="1" outlineLevel="1" x14ac:dyDescent="0.25">
      <c r="B99" s="291">
        <v>43789</v>
      </c>
      <c r="C99">
        <v>67.209998999999996</v>
      </c>
      <c r="D99" s="289">
        <f t="shared" si="4"/>
        <v>7.4441627490062778E-4</v>
      </c>
      <c r="E99">
        <v>3108.459961</v>
      </c>
      <c r="F99" s="289">
        <f t="shared" si="4"/>
        <v>-3.7561843404613215E-3</v>
      </c>
    </row>
    <row r="100" spans="2:6" hidden="1" outlineLevel="1" x14ac:dyDescent="0.25">
      <c r="B100" s="291">
        <v>43790</v>
      </c>
      <c r="C100">
        <v>66.75</v>
      </c>
      <c r="D100" s="289">
        <f t="shared" si="4"/>
        <v>-6.8442048332718608E-3</v>
      </c>
      <c r="E100">
        <v>3103.540039</v>
      </c>
      <c r="F100" s="289">
        <f t="shared" si="4"/>
        <v>-1.5827522508661263E-3</v>
      </c>
    </row>
    <row r="101" spans="2:6" hidden="1" outlineLevel="1" x14ac:dyDescent="0.25">
      <c r="B101" s="291">
        <v>43791</v>
      </c>
      <c r="C101">
        <v>66.709998999999996</v>
      </c>
      <c r="D101" s="289">
        <f t="shared" si="4"/>
        <v>-5.9926591760306458E-4</v>
      </c>
      <c r="E101">
        <v>3110.290039</v>
      </c>
      <c r="F101" s="289">
        <f t="shared" si="4"/>
        <v>2.1749356912357243E-3</v>
      </c>
    </row>
    <row r="102" spans="2:6" hidden="1" outlineLevel="1" x14ac:dyDescent="0.25">
      <c r="B102" s="291">
        <v>43794</v>
      </c>
      <c r="C102">
        <v>66.980002999999996</v>
      </c>
      <c r="D102" s="289">
        <f t="shared" si="4"/>
        <v>4.047429231710753E-3</v>
      </c>
      <c r="E102">
        <v>3133.639893</v>
      </c>
      <c r="F102" s="289">
        <f t="shared" si="4"/>
        <v>7.5072915088996162E-3</v>
      </c>
    </row>
    <row r="103" spans="2:6" hidden="1" outlineLevel="1" x14ac:dyDescent="0.25">
      <c r="B103" s="291">
        <v>43795</v>
      </c>
      <c r="C103">
        <v>67.790001000000004</v>
      </c>
      <c r="D103" s="289">
        <f t="shared" si="4"/>
        <v>1.2093131736646834E-2</v>
      </c>
      <c r="E103">
        <v>3140.5200199999999</v>
      </c>
      <c r="F103" s="289">
        <f t="shared" si="4"/>
        <v>2.1955704021285882E-3</v>
      </c>
    </row>
    <row r="104" spans="2:6" hidden="1" outlineLevel="1" x14ac:dyDescent="0.25">
      <c r="B104" s="291">
        <v>43796</v>
      </c>
      <c r="C104">
        <v>67.680000000000007</v>
      </c>
      <c r="D104" s="289">
        <f t="shared" si="4"/>
        <v>-1.6226729366768389E-3</v>
      </c>
      <c r="E104">
        <v>3153.6298830000001</v>
      </c>
      <c r="F104" s="289">
        <f t="shared" si="4"/>
        <v>4.1744242725763048E-3</v>
      </c>
    </row>
    <row r="105" spans="2:6" hidden="1" outlineLevel="1" x14ac:dyDescent="0.25">
      <c r="B105" s="291">
        <v>43798</v>
      </c>
      <c r="C105">
        <v>67.819999999999993</v>
      </c>
      <c r="D105" s="289">
        <f t="shared" si="4"/>
        <v>2.068557919621572E-3</v>
      </c>
      <c r="E105">
        <v>3140.9799800000001</v>
      </c>
      <c r="F105" s="289">
        <f t="shared" si="4"/>
        <v>-4.0112199177813057E-3</v>
      </c>
    </row>
    <row r="106" spans="2:6" hidden="1" outlineLevel="1" x14ac:dyDescent="0.25">
      <c r="B106" s="291">
        <v>43801</v>
      </c>
      <c r="C106">
        <v>67.569999999999993</v>
      </c>
      <c r="D106" s="289">
        <f t="shared" si="4"/>
        <v>-3.6862282512533096E-3</v>
      </c>
      <c r="E106">
        <v>3113.8701169999999</v>
      </c>
      <c r="F106" s="289">
        <f t="shared" si="4"/>
        <v>-8.6310206281544621E-3</v>
      </c>
    </row>
    <row r="107" spans="2:6" hidden="1" outlineLevel="1" x14ac:dyDescent="0.25">
      <c r="B107" s="291">
        <v>43802</v>
      </c>
      <c r="C107">
        <v>67.300003000000004</v>
      </c>
      <c r="D107" s="289">
        <f t="shared" si="4"/>
        <v>-3.9958117507767899E-3</v>
      </c>
      <c r="E107">
        <v>3093.1999510000001</v>
      </c>
      <c r="F107" s="289">
        <f t="shared" si="4"/>
        <v>-6.6380951110170949E-3</v>
      </c>
    </row>
    <row r="108" spans="2:6" hidden="1" outlineLevel="1" x14ac:dyDescent="0.25">
      <c r="B108" s="291">
        <v>43803</v>
      </c>
      <c r="C108">
        <v>68.080001999999993</v>
      </c>
      <c r="D108" s="289">
        <f t="shared" si="4"/>
        <v>1.1589880612635106E-2</v>
      </c>
      <c r="E108">
        <v>3112.76001</v>
      </c>
      <c r="F108" s="289">
        <f t="shared" si="4"/>
        <v>6.3235676030823917E-3</v>
      </c>
    </row>
    <row r="109" spans="2:6" hidden="1" outlineLevel="1" x14ac:dyDescent="0.25">
      <c r="B109" s="291">
        <v>43804</v>
      </c>
      <c r="C109">
        <v>67.819999999999993</v>
      </c>
      <c r="D109" s="289">
        <f t="shared" si="4"/>
        <v>-3.8190656927419298E-3</v>
      </c>
      <c r="E109">
        <v>3117.429932</v>
      </c>
      <c r="F109" s="289">
        <f t="shared" si="4"/>
        <v>1.5002512191744088E-3</v>
      </c>
    </row>
    <row r="110" spans="2:6" hidden="1" outlineLevel="1" x14ac:dyDescent="0.25">
      <c r="B110" s="291">
        <v>43805</v>
      </c>
      <c r="C110">
        <v>68.239998</v>
      </c>
      <c r="D110" s="289">
        <f t="shared" ref="D110:F125" si="5">C110/C109-1</f>
        <v>6.1928339722796544E-3</v>
      </c>
      <c r="E110">
        <v>3145.9099120000001</v>
      </c>
      <c r="F110" s="289">
        <f t="shared" si="5"/>
        <v>9.1357241770397835E-3</v>
      </c>
    </row>
    <row r="111" spans="2:6" hidden="1" outlineLevel="1" x14ac:dyDescent="0.25">
      <c r="B111" s="291">
        <v>43808</v>
      </c>
      <c r="C111">
        <v>68.599997999999999</v>
      </c>
      <c r="D111" s="289">
        <f t="shared" si="5"/>
        <v>5.2754983961165181E-3</v>
      </c>
      <c r="E111">
        <v>3135.959961</v>
      </c>
      <c r="F111" s="289">
        <f t="shared" si="5"/>
        <v>-3.1628213389220949E-3</v>
      </c>
    </row>
    <row r="112" spans="2:6" hidden="1" outlineLevel="1" x14ac:dyDescent="0.25">
      <c r="B112" s="291">
        <v>43809</v>
      </c>
      <c r="C112">
        <v>67.930000000000007</v>
      </c>
      <c r="D112" s="289">
        <f t="shared" si="5"/>
        <v>-9.7667349786219049E-3</v>
      </c>
      <c r="E112">
        <v>3132.5200199999999</v>
      </c>
      <c r="F112" s="289">
        <f t="shared" si="5"/>
        <v>-1.0969339668811529E-3</v>
      </c>
    </row>
    <row r="113" spans="2:6" hidden="1" outlineLevel="1" x14ac:dyDescent="0.25">
      <c r="B113" s="291">
        <v>43810</v>
      </c>
      <c r="C113">
        <v>67.459998999999996</v>
      </c>
      <c r="D113" s="289">
        <f t="shared" si="5"/>
        <v>-6.918901810687661E-3</v>
      </c>
      <c r="E113">
        <v>3141.6298830000001</v>
      </c>
      <c r="F113" s="289">
        <f t="shared" si="5"/>
        <v>2.9081579500966903E-3</v>
      </c>
    </row>
    <row r="114" spans="2:6" hidden="1" outlineLevel="1" x14ac:dyDescent="0.25">
      <c r="B114" s="291">
        <v>43811</v>
      </c>
      <c r="C114">
        <v>67.230002999999996</v>
      </c>
      <c r="D114" s="289">
        <f t="shared" si="5"/>
        <v>-3.4093685652144545E-3</v>
      </c>
      <c r="E114">
        <v>3168.570068</v>
      </c>
      <c r="F114" s="289">
        <f t="shared" si="5"/>
        <v>8.5752256005007244E-3</v>
      </c>
    </row>
    <row r="115" spans="2:6" hidden="1" outlineLevel="1" x14ac:dyDescent="0.25">
      <c r="B115" s="291">
        <v>43812</v>
      </c>
      <c r="C115">
        <v>68.690002000000007</v>
      </c>
      <c r="D115" s="289">
        <f t="shared" si="5"/>
        <v>2.1716479768713048E-2</v>
      </c>
      <c r="E115">
        <v>3168.8000489999999</v>
      </c>
      <c r="F115" s="289">
        <f t="shared" si="5"/>
        <v>7.2581951815697821E-5</v>
      </c>
    </row>
    <row r="116" spans="2:6" hidden="1" outlineLevel="1" x14ac:dyDescent="0.25">
      <c r="B116" s="291">
        <v>43815</v>
      </c>
      <c r="C116">
        <v>68.870002999999997</v>
      </c>
      <c r="D116" s="289">
        <f t="shared" si="5"/>
        <v>2.6204832546079526E-3</v>
      </c>
      <c r="E116">
        <v>3191.4499510000001</v>
      </c>
      <c r="F116" s="289">
        <f t="shared" si="5"/>
        <v>7.1477851709664808E-3</v>
      </c>
    </row>
    <row r="117" spans="2:6" hidden="1" outlineLevel="1" x14ac:dyDescent="0.25">
      <c r="B117" s="291">
        <v>43816</v>
      </c>
      <c r="C117">
        <v>67.839995999999999</v>
      </c>
      <c r="D117" s="289">
        <f t="shared" si="5"/>
        <v>-1.4955814652716004E-2</v>
      </c>
      <c r="E117">
        <v>3192.5200199999999</v>
      </c>
      <c r="F117" s="289">
        <f t="shared" si="5"/>
        <v>3.3529242708785212E-4</v>
      </c>
    </row>
    <row r="118" spans="2:6" hidden="1" outlineLevel="1" x14ac:dyDescent="0.25">
      <c r="B118" s="291">
        <v>43817</v>
      </c>
      <c r="C118">
        <v>68.269997000000004</v>
      </c>
      <c r="D118" s="289">
        <f t="shared" si="5"/>
        <v>6.3384585105223934E-3</v>
      </c>
      <c r="E118">
        <v>3191.139893</v>
      </c>
      <c r="F118" s="289">
        <f t="shared" si="5"/>
        <v>-4.3230018648399149E-4</v>
      </c>
    </row>
    <row r="119" spans="2:6" hidden="1" outlineLevel="1" x14ac:dyDescent="0.25">
      <c r="B119" s="291">
        <v>43818</v>
      </c>
      <c r="C119">
        <v>68.339995999999999</v>
      </c>
      <c r="D119" s="289">
        <f t="shared" si="5"/>
        <v>1.0253259568766548E-3</v>
      </c>
      <c r="E119">
        <v>3205.3701169999999</v>
      </c>
      <c r="F119" s="289">
        <f t="shared" si="5"/>
        <v>4.4592918133157244E-3</v>
      </c>
    </row>
    <row r="120" spans="2:6" hidden="1" outlineLevel="1" x14ac:dyDescent="0.25">
      <c r="B120" s="291">
        <v>43819</v>
      </c>
      <c r="C120">
        <v>68.849997999999999</v>
      </c>
      <c r="D120" s="289">
        <f t="shared" si="5"/>
        <v>7.4627162694009819E-3</v>
      </c>
      <c r="E120">
        <v>3221.219971</v>
      </c>
      <c r="F120" s="289">
        <f t="shared" si="5"/>
        <v>4.9447812331995245E-3</v>
      </c>
    </row>
    <row r="121" spans="2:6" hidden="1" outlineLevel="1" x14ac:dyDescent="0.25">
      <c r="B121" s="291">
        <v>43822</v>
      </c>
      <c r="C121">
        <v>68.720000999999996</v>
      </c>
      <c r="D121" s="289">
        <f t="shared" si="5"/>
        <v>-1.888119154339063E-3</v>
      </c>
      <c r="E121">
        <v>3224.01001</v>
      </c>
      <c r="F121" s="289">
        <f t="shared" si="5"/>
        <v>8.6614358072978348E-4</v>
      </c>
    </row>
    <row r="122" spans="2:6" hidden="1" outlineLevel="1" x14ac:dyDescent="0.25">
      <c r="B122" s="291">
        <v>43823</v>
      </c>
      <c r="C122">
        <v>68.550003000000004</v>
      </c>
      <c r="D122" s="289">
        <f t="shared" si="5"/>
        <v>-2.4737776124303945E-3</v>
      </c>
      <c r="E122">
        <v>3223.3798830000001</v>
      </c>
      <c r="F122" s="289">
        <f t="shared" si="5"/>
        <v>-1.9544821450478977E-4</v>
      </c>
    </row>
    <row r="123" spans="2:6" hidden="1" outlineLevel="1" x14ac:dyDescent="0.25">
      <c r="B123" s="291">
        <v>43825</v>
      </c>
      <c r="C123">
        <v>68.580001999999993</v>
      </c>
      <c r="D123" s="289">
        <f t="shared" si="5"/>
        <v>4.3762215444376196E-4</v>
      </c>
      <c r="E123">
        <v>3239.9099120000001</v>
      </c>
      <c r="F123" s="289">
        <f t="shared" si="5"/>
        <v>5.1281665829021605E-3</v>
      </c>
    </row>
    <row r="124" spans="2:6" hidden="1" outlineLevel="1" x14ac:dyDescent="0.25">
      <c r="B124" s="291">
        <v>43826</v>
      </c>
      <c r="C124">
        <v>69.180000000000007</v>
      </c>
      <c r="D124" s="289">
        <f t="shared" si="5"/>
        <v>8.7488769685368784E-3</v>
      </c>
      <c r="E124">
        <v>3240.0200199999999</v>
      </c>
      <c r="F124" s="289">
        <f t="shared" si="5"/>
        <v>3.3984895565053463E-5</v>
      </c>
    </row>
    <row r="125" spans="2:6" hidden="1" outlineLevel="1" x14ac:dyDescent="0.25">
      <c r="B125" s="291">
        <v>43829</v>
      </c>
      <c r="C125">
        <v>68.790001000000004</v>
      </c>
      <c r="D125" s="289">
        <f t="shared" si="5"/>
        <v>-5.6374530211044105E-3</v>
      </c>
      <c r="E125">
        <v>3221.290039</v>
      </c>
      <c r="F125" s="289">
        <f t="shared" si="5"/>
        <v>-5.7808226135590557E-3</v>
      </c>
    </row>
    <row r="126" spans="2:6" hidden="1" outlineLevel="1" x14ac:dyDescent="0.25">
      <c r="B126" s="291">
        <v>43830</v>
      </c>
      <c r="C126">
        <v>68.839995999999999</v>
      </c>
      <c r="D126" s="289">
        <f t="shared" ref="D126:F141" si="6">C126/C125-1</f>
        <v>7.2677713727609117E-4</v>
      </c>
      <c r="E126">
        <v>3230.780029</v>
      </c>
      <c r="F126" s="289">
        <f t="shared" si="6"/>
        <v>2.9460215892096464E-3</v>
      </c>
    </row>
    <row r="127" spans="2:6" hidden="1" outlineLevel="1" x14ac:dyDescent="0.25">
      <c r="B127" s="291">
        <v>43832</v>
      </c>
      <c r="C127">
        <v>68.120002999999997</v>
      </c>
      <c r="D127" s="289">
        <f t="shared" si="6"/>
        <v>-1.0458934367166495E-2</v>
      </c>
      <c r="E127">
        <v>3257.8500979999999</v>
      </c>
      <c r="F127" s="289">
        <f t="shared" si="6"/>
        <v>8.3788028763995825E-3</v>
      </c>
    </row>
    <row r="128" spans="2:6" hidden="1" outlineLevel="1" x14ac:dyDescent="0.25">
      <c r="B128" s="291">
        <v>43833</v>
      </c>
      <c r="C128">
        <v>68.019997000000004</v>
      </c>
      <c r="D128" s="289">
        <f t="shared" si="6"/>
        <v>-1.4680856664083253E-3</v>
      </c>
      <c r="E128">
        <v>3234.8500979999999</v>
      </c>
      <c r="F128" s="289">
        <f t="shared" si="6"/>
        <v>-7.0598705613004187E-3</v>
      </c>
    </row>
    <row r="129" spans="2:6" hidden="1" outlineLevel="1" x14ac:dyDescent="0.25">
      <c r="B129" s="291">
        <v>43836</v>
      </c>
      <c r="C129">
        <v>68.489998</v>
      </c>
      <c r="D129" s="289">
        <f t="shared" si="6"/>
        <v>6.9097474379482549E-3</v>
      </c>
      <c r="E129">
        <v>3246.280029</v>
      </c>
      <c r="F129" s="289">
        <f t="shared" si="6"/>
        <v>3.5333726923132414E-3</v>
      </c>
    </row>
    <row r="130" spans="2:6" hidden="1" outlineLevel="1" x14ac:dyDescent="0.25">
      <c r="B130" s="291">
        <v>43837</v>
      </c>
      <c r="C130">
        <v>67.550003000000004</v>
      </c>
      <c r="D130" s="289">
        <f t="shared" si="6"/>
        <v>-1.3724558730458636E-2</v>
      </c>
      <c r="E130">
        <v>3237.179932</v>
      </c>
      <c r="F130" s="289">
        <f t="shared" si="6"/>
        <v>-2.8032384509980579E-3</v>
      </c>
    </row>
    <row r="131" spans="2:6" hidden="1" outlineLevel="1" x14ac:dyDescent="0.25">
      <c r="B131" s="291">
        <v>43838</v>
      </c>
      <c r="C131">
        <v>69.269997000000004</v>
      </c>
      <c r="D131" s="289">
        <f t="shared" si="6"/>
        <v>2.5462530327348798E-2</v>
      </c>
      <c r="E131">
        <v>3253.0500489999999</v>
      </c>
      <c r="F131" s="289">
        <f t="shared" si="6"/>
        <v>4.9024513105131451E-3</v>
      </c>
    </row>
    <row r="132" spans="2:6" hidden="1" outlineLevel="1" x14ac:dyDescent="0.25">
      <c r="B132" s="291">
        <v>43839</v>
      </c>
      <c r="C132">
        <v>69.860000999999997</v>
      </c>
      <c r="D132" s="289">
        <f t="shared" si="6"/>
        <v>8.5174538119294763E-3</v>
      </c>
      <c r="E132">
        <v>3274.6999510000001</v>
      </c>
      <c r="F132" s="289">
        <f t="shared" si="6"/>
        <v>6.6552624994673515E-3</v>
      </c>
    </row>
    <row r="133" spans="2:6" hidden="1" outlineLevel="1" x14ac:dyDescent="0.25">
      <c r="B133" s="291">
        <v>43840</v>
      </c>
      <c r="C133">
        <v>70.150002000000001</v>
      </c>
      <c r="D133" s="289">
        <f t="shared" si="6"/>
        <v>4.1511737167023721E-3</v>
      </c>
      <c r="E133">
        <v>3265.3500979999999</v>
      </c>
      <c r="F133" s="289">
        <f t="shared" si="6"/>
        <v>-2.8551785323552847E-3</v>
      </c>
    </row>
    <row r="134" spans="2:6" hidden="1" outlineLevel="1" x14ac:dyDescent="0.25">
      <c r="B134" s="291">
        <v>43843</v>
      </c>
      <c r="C134">
        <v>70.139999000000003</v>
      </c>
      <c r="D134" s="289">
        <f t="shared" si="6"/>
        <v>-1.4259443641917446E-4</v>
      </c>
      <c r="E134">
        <v>3288.1298830000001</v>
      </c>
      <c r="F134" s="289">
        <f t="shared" si="6"/>
        <v>6.9762152039845038E-3</v>
      </c>
    </row>
    <row r="135" spans="2:6" hidden="1" outlineLevel="1" x14ac:dyDescent="0.25">
      <c r="B135" s="291">
        <v>43844</v>
      </c>
      <c r="C135">
        <v>70.290001000000004</v>
      </c>
      <c r="D135" s="289">
        <f t="shared" si="6"/>
        <v>2.1386085277816935E-3</v>
      </c>
      <c r="E135">
        <v>3283.1499020000001</v>
      </c>
      <c r="F135" s="289">
        <f t="shared" si="6"/>
        <v>-1.5145329342819425E-3</v>
      </c>
    </row>
    <row r="136" spans="2:6" hidden="1" outlineLevel="1" x14ac:dyDescent="0.25">
      <c r="B136" s="291">
        <v>43845</v>
      </c>
      <c r="C136">
        <v>70.800003000000004</v>
      </c>
      <c r="D136" s="289">
        <f t="shared" si="6"/>
        <v>7.255683493303744E-3</v>
      </c>
      <c r="E136">
        <v>3289.290039</v>
      </c>
      <c r="F136" s="289">
        <f t="shared" si="6"/>
        <v>1.8701969703727173E-3</v>
      </c>
    </row>
    <row r="137" spans="2:6" hidden="1" outlineLevel="1" x14ac:dyDescent="0.25">
      <c r="B137" s="291">
        <v>43846</v>
      </c>
      <c r="C137">
        <v>70.75</v>
      </c>
      <c r="D137" s="289">
        <f t="shared" si="6"/>
        <v>-7.0625703222082503E-4</v>
      </c>
      <c r="E137">
        <v>3316.8100589999999</v>
      </c>
      <c r="F137" s="289">
        <f t="shared" si="6"/>
        <v>8.3665531691350381E-3</v>
      </c>
    </row>
    <row r="138" spans="2:6" hidden="1" outlineLevel="1" x14ac:dyDescent="0.25">
      <c r="B138" s="291">
        <v>43847</v>
      </c>
      <c r="C138">
        <v>71.180000000000007</v>
      </c>
      <c r="D138" s="289">
        <f t="shared" si="6"/>
        <v>6.0777385159012098E-3</v>
      </c>
      <c r="E138">
        <v>3329.6201169999999</v>
      </c>
      <c r="F138" s="289">
        <f t="shared" si="6"/>
        <v>3.8621620690157954E-3</v>
      </c>
    </row>
    <row r="139" spans="2:6" hidden="1" outlineLevel="1" x14ac:dyDescent="0.25">
      <c r="B139" s="291">
        <v>43851</v>
      </c>
      <c r="C139">
        <v>71.290001000000004</v>
      </c>
      <c r="D139" s="289">
        <f t="shared" si="6"/>
        <v>1.5453919640346925E-3</v>
      </c>
      <c r="E139">
        <v>3320.790039</v>
      </c>
      <c r="F139" s="289">
        <f t="shared" si="6"/>
        <v>-2.6519776099730441E-3</v>
      </c>
    </row>
    <row r="140" spans="2:6" hidden="1" outlineLevel="1" x14ac:dyDescent="0.25">
      <c r="B140" s="291">
        <v>43852</v>
      </c>
      <c r="C140">
        <v>70.529999000000004</v>
      </c>
      <c r="D140" s="289">
        <f t="shared" si="6"/>
        <v>-1.0660709627427267E-2</v>
      </c>
      <c r="E140">
        <v>3321.75</v>
      </c>
      <c r="F140" s="289">
        <f t="shared" si="6"/>
        <v>2.8907608994432898E-4</v>
      </c>
    </row>
    <row r="141" spans="2:6" hidden="1" outlineLevel="1" x14ac:dyDescent="0.25">
      <c r="B141" s="291">
        <v>43853</v>
      </c>
      <c r="C141">
        <v>70.610000999999997</v>
      </c>
      <c r="D141" s="289">
        <f t="shared" si="6"/>
        <v>1.1342974781551884E-3</v>
      </c>
      <c r="E141">
        <v>3325.540039</v>
      </c>
      <c r="F141" s="289">
        <f t="shared" si="6"/>
        <v>1.1409765936629679E-3</v>
      </c>
    </row>
    <row r="142" spans="2:6" hidden="1" outlineLevel="1" x14ac:dyDescent="0.25">
      <c r="B142" s="291">
        <v>43854</v>
      </c>
      <c r="C142">
        <v>70.300003000000004</v>
      </c>
      <c r="D142" s="289">
        <f t="shared" ref="D142:F157" si="7">C142/C141-1</f>
        <v>-4.3902846000525297E-3</v>
      </c>
      <c r="E142">
        <v>3295.469971</v>
      </c>
      <c r="F142" s="289">
        <f t="shared" si="7"/>
        <v>-9.0421608663121544E-3</v>
      </c>
    </row>
    <row r="143" spans="2:6" hidden="1" outlineLevel="1" x14ac:dyDescent="0.25">
      <c r="B143" s="291">
        <v>43857</v>
      </c>
      <c r="C143">
        <v>70.099997999999999</v>
      </c>
      <c r="D143" s="289">
        <f t="shared" si="7"/>
        <v>-2.8450212157175025E-3</v>
      </c>
      <c r="E143">
        <v>3243.6298830000001</v>
      </c>
      <c r="F143" s="289">
        <f t="shared" si="7"/>
        <v>-1.5730711690954746E-2</v>
      </c>
    </row>
    <row r="144" spans="2:6" hidden="1" outlineLevel="1" x14ac:dyDescent="0.25">
      <c r="B144" s="291">
        <v>43858</v>
      </c>
      <c r="C144">
        <v>69.709998999999996</v>
      </c>
      <c r="D144" s="289">
        <f t="shared" si="7"/>
        <v>-5.5634666351916939E-3</v>
      </c>
      <c r="E144">
        <v>3276.23999</v>
      </c>
      <c r="F144" s="289">
        <f t="shared" si="7"/>
        <v>1.0053584464402299E-2</v>
      </c>
    </row>
    <row r="145" spans="2:6" hidden="1" outlineLevel="1" x14ac:dyDescent="0.25">
      <c r="B145" s="291">
        <v>43859</v>
      </c>
      <c r="C145">
        <v>68.830001999999993</v>
      </c>
      <c r="D145" s="289">
        <f t="shared" si="7"/>
        <v>-1.2623684014111181E-2</v>
      </c>
      <c r="E145">
        <v>3273.3999020000001</v>
      </c>
      <c r="F145" s="289">
        <f t="shared" si="7"/>
        <v>-8.668742243146399E-4</v>
      </c>
    </row>
    <row r="146" spans="2:6" hidden="1" outlineLevel="1" x14ac:dyDescent="0.25">
      <c r="B146" s="291">
        <v>43860</v>
      </c>
      <c r="C146">
        <v>69.470000999999996</v>
      </c>
      <c r="D146" s="289">
        <f t="shared" si="7"/>
        <v>9.2982563039878396E-3</v>
      </c>
      <c r="E146">
        <v>3283.6599120000001</v>
      </c>
      <c r="F146" s="289">
        <f t="shared" si="7"/>
        <v>3.1343588645345033E-3</v>
      </c>
    </row>
    <row r="147" spans="2:6" hidden="1" outlineLevel="1" x14ac:dyDescent="0.25">
      <c r="B147" s="291">
        <v>43861</v>
      </c>
      <c r="C147">
        <v>73.779999000000004</v>
      </c>
      <c r="D147" s="289">
        <f t="shared" si="7"/>
        <v>6.2041139167394066E-2</v>
      </c>
      <c r="E147">
        <v>3225.5200199999999</v>
      </c>
      <c r="F147" s="289">
        <f t="shared" si="7"/>
        <v>-1.7705820200054956E-2</v>
      </c>
    </row>
    <row r="148" spans="2:6" hidden="1" outlineLevel="1" x14ac:dyDescent="0.25">
      <c r="B148" s="291">
        <v>43864</v>
      </c>
      <c r="C148">
        <v>74.930000000000007</v>
      </c>
      <c r="D148" s="289">
        <f t="shared" si="7"/>
        <v>1.5586893678326108E-2</v>
      </c>
      <c r="E148">
        <v>3248.919922</v>
      </c>
      <c r="F148" s="289">
        <f t="shared" si="7"/>
        <v>7.2546137847255832E-3</v>
      </c>
    </row>
    <row r="149" spans="2:6" hidden="1" outlineLevel="1" x14ac:dyDescent="0.25">
      <c r="B149" s="291">
        <v>43865</v>
      </c>
      <c r="C149">
        <v>75.400002000000001</v>
      </c>
      <c r="D149" s="289">
        <f t="shared" si="7"/>
        <v>6.2725477111971184E-3</v>
      </c>
      <c r="E149">
        <v>3297.5900879999999</v>
      </c>
      <c r="F149" s="289">
        <f t="shared" si="7"/>
        <v>1.4980414158696442E-2</v>
      </c>
    </row>
    <row r="150" spans="2:6" hidden="1" outlineLevel="1" x14ac:dyDescent="0.25">
      <c r="B150" s="291">
        <v>43866</v>
      </c>
      <c r="C150">
        <v>75.730002999999996</v>
      </c>
      <c r="D150" s="289">
        <f t="shared" si="7"/>
        <v>4.3766709714410101E-3</v>
      </c>
      <c r="E150">
        <v>3334.6899410000001</v>
      </c>
      <c r="F150" s="289">
        <f t="shared" si="7"/>
        <v>1.125059574111642E-2</v>
      </c>
    </row>
    <row r="151" spans="2:6" hidden="1" outlineLevel="1" x14ac:dyDescent="0.25">
      <c r="B151" s="291">
        <v>43867</v>
      </c>
      <c r="C151">
        <v>76.309997999999993</v>
      </c>
      <c r="D151" s="289">
        <f t="shared" si="7"/>
        <v>7.6587214713301766E-3</v>
      </c>
      <c r="E151">
        <v>3345.780029</v>
      </c>
      <c r="F151" s="289">
        <f t="shared" si="7"/>
        <v>3.325672909989974E-3</v>
      </c>
    </row>
    <row r="152" spans="2:6" hidden="1" outlineLevel="1" x14ac:dyDescent="0.25">
      <c r="B152" s="291">
        <v>43868</v>
      </c>
      <c r="C152">
        <v>76.029999000000004</v>
      </c>
      <c r="D152" s="289">
        <f t="shared" si="7"/>
        <v>-3.6692308653970551E-3</v>
      </c>
      <c r="E152">
        <v>3327.709961</v>
      </c>
      <c r="F152" s="289">
        <f t="shared" si="7"/>
        <v>-5.4008535657978918E-3</v>
      </c>
    </row>
    <row r="153" spans="2:6" hidden="1" outlineLevel="1" x14ac:dyDescent="0.25">
      <c r="B153" s="291">
        <v>43871</v>
      </c>
      <c r="C153">
        <v>77.349997999999999</v>
      </c>
      <c r="D153" s="289">
        <f t="shared" si="7"/>
        <v>1.7361554877831864E-2</v>
      </c>
      <c r="E153">
        <v>3352.0900879999999</v>
      </c>
      <c r="F153" s="289">
        <f t="shared" si="7"/>
        <v>7.3263978188391476E-3</v>
      </c>
    </row>
    <row r="154" spans="2:6" hidden="1" outlineLevel="1" x14ac:dyDescent="0.25">
      <c r="B154" s="291">
        <v>43872</v>
      </c>
      <c r="C154">
        <v>76.110000999999997</v>
      </c>
      <c r="D154" s="289">
        <f t="shared" si="7"/>
        <v>-1.6030989425494302E-2</v>
      </c>
      <c r="E154">
        <v>3357.75</v>
      </c>
      <c r="F154" s="289">
        <f t="shared" si="7"/>
        <v>1.6884725205512652E-3</v>
      </c>
    </row>
    <row r="155" spans="2:6" hidden="1" outlineLevel="1" x14ac:dyDescent="0.25">
      <c r="B155" s="291">
        <v>43873</v>
      </c>
      <c r="C155">
        <v>75.949996999999996</v>
      </c>
      <c r="D155" s="289">
        <f t="shared" si="7"/>
        <v>-2.1022729982620447E-3</v>
      </c>
      <c r="E155">
        <v>3379.4499510000001</v>
      </c>
      <c r="F155" s="289">
        <f t="shared" si="7"/>
        <v>6.4626464150101537E-3</v>
      </c>
    </row>
    <row r="156" spans="2:6" hidden="1" outlineLevel="1" x14ac:dyDescent="0.25">
      <c r="B156" s="291">
        <v>43874</v>
      </c>
      <c r="C156">
        <v>76.370002999999997</v>
      </c>
      <c r="D156" s="289">
        <f t="shared" si="7"/>
        <v>5.5300331348269172E-3</v>
      </c>
      <c r="E156">
        <v>3373.9399410000001</v>
      </c>
      <c r="F156" s="289">
        <f t="shared" si="7"/>
        <v>-1.6304458062382787E-3</v>
      </c>
    </row>
    <row r="157" spans="2:6" hidden="1" outlineLevel="1" x14ac:dyDescent="0.25">
      <c r="B157" s="291">
        <v>43875</v>
      </c>
      <c r="C157">
        <v>76.690002000000007</v>
      </c>
      <c r="D157" s="289">
        <f t="shared" si="7"/>
        <v>4.1901137544804179E-3</v>
      </c>
      <c r="E157">
        <v>3380.1599120000001</v>
      </c>
      <c r="F157" s="289">
        <f t="shared" si="7"/>
        <v>1.8435334086464028E-3</v>
      </c>
    </row>
    <row r="158" spans="2:6" hidden="1" outlineLevel="1" x14ac:dyDescent="0.25">
      <c r="B158" s="291">
        <v>43879</v>
      </c>
      <c r="C158">
        <v>76.069999999999993</v>
      </c>
      <c r="D158" s="289">
        <f t="shared" ref="D158:F173" si="8">C158/C157-1</f>
        <v>-8.0845218911327343E-3</v>
      </c>
      <c r="E158">
        <v>3370.290039</v>
      </c>
      <c r="F158" s="289">
        <f t="shared" si="8"/>
        <v>-2.9199426231170111E-3</v>
      </c>
    </row>
    <row r="159" spans="2:6" hidden="1" outlineLevel="1" x14ac:dyDescent="0.25">
      <c r="B159" s="291">
        <v>43880</v>
      </c>
      <c r="C159">
        <v>75.540001000000004</v>
      </c>
      <c r="D159" s="289">
        <f t="shared" si="8"/>
        <v>-6.9672538451425181E-3</v>
      </c>
      <c r="E159">
        <v>3386.1499020000001</v>
      </c>
      <c r="F159" s="289">
        <f t="shared" si="8"/>
        <v>4.70578579780212E-3</v>
      </c>
    </row>
    <row r="160" spans="2:6" hidden="1" outlineLevel="1" x14ac:dyDescent="0.25">
      <c r="B160" s="291">
        <v>43881</v>
      </c>
      <c r="C160">
        <v>75.160004000000001</v>
      </c>
      <c r="D160" s="289">
        <f t="shared" si="8"/>
        <v>-5.0304076644108742E-3</v>
      </c>
      <c r="E160">
        <v>3373.2299800000001</v>
      </c>
      <c r="F160" s="289">
        <f t="shared" si="8"/>
        <v>-3.8155198009305336E-3</v>
      </c>
    </row>
    <row r="161" spans="2:6" hidden="1" outlineLevel="1" x14ac:dyDescent="0.25">
      <c r="B161" s="291">
        <v>43882</v>
      </c>
      <c r="C161">
        <v>76.269997000000004</v>
      </c>
      <c r="D161" s="289">
        <f t="shared" si="8"/>
        <v>1.4768399959105949E-2</v>
      </c>
      <c r="E161">
        <v>3337.75</v>
      </c>
      <c r="F161" s="289">
        <f t="shared" si="8"/>
        <v>-1.0518102889622738E-2</v>
      </c>
    </row>
    <row r="162" spans="2:6" hidden="1" outlineLevel="1" x14ac:dyDescent="0.25">
      <c r="B162" s="291">
        <v>43885</v>
      </c>
      <c r="C162">
        <v>74.419998000000007</v>
      </c>
      <c r="D162" s="289">
        <f t="shared" si="8"/>
        <v>-2.4255920712832779E-2</v>
      </c>
      <c r="E162">
        <v>3225.889893</v>
      </c>
      <c r="F162" s="289">
        <f t="shared" si="8"/>
        <v>-3.3513626544828146E-2</v>
      </c>
    </row>
    <row r="163" spans="2:6" hidden="1" outlineLevel="1" x14ac:dyDescent="0.25">
      <c r="B163" s="291">
        <v>43886</v>
      </c>
      <c r="C163">
        <v>73.800003000000004</v>
      </c>
      <c r="D163" s="289">
        <f t="shared" si="8"/>
        <v>-8.3310268296433732E-3</v>
      </c>
      <c r="E163">
        <v>3128.209961</v>
      </c>
      <c r="F163" s="289">
        <f t="shared" si="8"/>
        <v>-3.0279995672499505E-2</v>
      </c>
    </row>
    <row r="164" spans="2:6" hidden="1" outlineLevel="1" x14ac:dyDescent="0.25">
      <c r="B164" s="291">
        <v>43887</v>
      </c>
      <c r="C164">
        <v>72.919998000000007</v>
      </c>
      <c r="D164" s="289">
        <f t="shared" si="8"/>
        <v>-1.1924186507146883E-2</v>
      </c>
      <c r="E164">
        <v>3116.389893</v>
      </c>
      <c r="F164" s="289">
        <f t="shared" si="8"/>
        <v>-3.7785404903645237E-3</v>
      </c>
    </row>
    <row r="165" spans="2:6" hidden="1" outlineLevel="1" x14ac:dyDescent="0.25">
      <c r="B165" s="291">
        <v>43888</v>
      </c>
      <c r="C165">
        <v>70.150002000000001</v>
      </c>
      <c r="D165" s="289">
        <f t="shared" si="8"/>
        <v>-3.7986781074788367E-2</v>
      </c>
      <c r="E165">
        <v>2978.76001</v>
      </c>
      <c r="F165" s="289">
        <f t="shared" si="8"/>
        <v>-4.4163242638266431E-2</v>
      </c>
    </row>
    <row r="166" spans="2:6" hidden="1" outlineLevel="1" x14ac:dyDescent="0.25">
      <c r="B166" s="291">
        <v>43889</v>
      </c>
      <c r="C166">
        <v>67.569999999999993</v>
      </c>
      <c r="D166" s="289">
        <f t="shared" si="8"/>
        <v>-3.677835960717446E-2</v>
      </c>
      <c r="E166">
        <v>2954.219971</v>
      </c>
      <c r="F166" s="289">
        <f t="shared" si="8"/>
        <v>-8.2383404227317492E-3</v>
      </c>
    </row>
    <row r="167" spans="2:6" hidden="1" outlineLevel="1" x14ac:dyDescent="0.25">
      <c r="B167" s="291">
        <v>43892</v>
      </c>
      <c r="C167">
        <v>72.440002000000007</v>
      </c>
      <c r="D167" s="289">
        <f t="shared" si="8"/>
        <v>7.2073434956341886E-2</v>
      </c>
      <c r="E167">
        <v>3090.2299800000001</v>
      </c>
      <c r="F167" s="289">
        <f t="shared" si="8"/>
        <v>4.6039228742320359E-2</v>
      </c>
    </row>
    <row r="168" spans="2:6" hidden="1" outlineLevel="1" x14ac:dyDescent="0.25">
      <c r="B168" s="291">
        <v>43893</v>
      </c>
      <c r="C168">
        <v>71.779999000000004</v>
      </c>
      <c r="D168" s="289">
        <f t="shared" si="8"/>
        <v>-9.1110295662333307E-3</v>
      </c>
      <c r="E168">
        <v>3003.3701169999999</v>
      </c>
      <c r="F168" s="289">
        <f t="shared" si="8"/>
        <v>-2.8107896034326951E-2</v>
      </c>
    </row>
    <row r="169" spans="2:6" hidden="1" outlineLevel="1" x14ac:dyDescent="0.25">
      <c r="B169" s="291">
        <v>43894</v>
      </c>
      <c r="C169">
        <v>75.370002999999997</v>
      </c>
      <c r="D169" s="289">
        <f t="shared" si="8"/>
        <v>5.0013987879826916E-2</v>
      </c>
      <c r="E169">
        <v>3130.1201169999999</v>
      </c>
      <c r="F169" s="289">
        <f t="shared" si="8"/>
        <v>4.2202590777125959E-2</v>
      </c>
    </row>
    <row r="170" spans="2:6" hidden="1" outlineLevel="1" x14ac:dyDescent="0.25">
      <c r="B170" s="291">
        <v>43895</v>
      </c>
      <c r="C170">
        <v>72.339995999999999</v>
      </c>
      <c r="D170" s="289">
        <f t="shared" si="8"/>
        <v>-4.0201763027659654E-2</v>
      </c>
      <c r="E170">
        <v>3023.9399410000001</v>
      </c>
      <c r="F170" s="289">
        <f t="shared" si="8"/>
        <v>-3.3922077118805904E-2</v>
      </c>
    </row>
    <row r="171" spans="2:6" hidden="1" outlineLevel="1" x14ac:dyDescent="0.25">
      <c r="B171" s="291">
        <v>43896</v>
      </c>
      <c r="C171">
        <v>72.510002</v>
      </c>
      <c r="D171" s="289">
        <f t="shared" si="8"/>
        <v>2.3500968952223644E-3</v>
      </c>
      <c r="E171">
        <v>2972.3701169999999</v>
      </c>
      <c r="F171" s="289">
        <f t="shared" si="8"/>
        <v>-1.7053851930321828E-2</v>
      </c>
    </row>
    <row r="172" spans="2:6" hidden="1" outlineLevel="1" x14ac:dyDescent="0.25">
      <c r="B172" s="291">
        <v>43899</v>
      </c>
      <c r="C172">
        <v>69.989998</v>
      </c>
      <c r="D172" s="289">
        <f t="shared" si="8"/>
        <v>-3.4753881264546149E-2</v>
      </c>
      <c r="E172">
        <v>2746.5600589999999</v>
      </c>
      <c r="F172" s="289">
        <f t="shared" si="8"/>
        <v>-7.5969697282486814E-2</v>
      </c>
    </row>
    <row r="173" spans="2:6" hidden="1" outlineLevel="1" x14ac:dyDescent="0.25">
      <c r="B173" s="291">
        <v>43900</v>
      </c>
      <c r="C173">
        <v>71.809997999999993</v>
      </c>
      <c r="D173" s="289">
        <f t="shared" si="8"/>
        <v>2.6003715559471674E-2</v>
      </c>
      <c r="E173">
        <v>2882.2299800000001</v>
      </c>
      <c r="F173" s="289">
        <f t="shared" si="8"/>
        <v>4.9396305955674791E-2</v>
      </c>
    </row>
    <row r="174" spans="2:6" hidden="1" outlineLevel="1" x14ac:dyDescent="0.25">
      <c r="B174" s="291">
        <v>43901</v>
      </c>
      <c r="C174">
        <v>68.900002000000001</v>
      </c>
      <c r="D174" s="289">
        <f t="shared" ref="D174:F189" si="9">C174/C173-1</f>
        <v>-4.0523549380964918E-2</v>
      </c>
      <c r="E174">
        <v>2741.3798830000001</v>
      </c>
      <c r="F174" s="289">
        <f t="shared" si="9"/>
        <v>-4.8868444911533415E-2</v>
      </c>
    </row>
    <row r="175" spans="2:6" hidden="1" outlineLevel="1" x14ac:dyDescent="0.25">
      <c r="B175" s="291">
        <v>43902</v>
      </c>
      <c r="C175">
        <v>63.889999000000003</v>
      </c>
      <c r="D175" s="289">
        <f t="shared" si="9"/>
        <v>-7.2714119805105337E-2</v>
      </c>
      <c r="E175">
        <v>2480.639893</v>
      </c>
      <c r="F175" s="289">
        <f t="shared" si="9"/>
        <v>-9.5112680886335954E-2</v>
      </c>
    </row>
    <row r="176" spans="2:6" hidden="1" outlineLevel="1" x14ac:dyDescent="0.25">
      <c r="B176" s="291">
        <v>43903</v>
      </c>
      <c r="C176">
        <v>69.099997999999999</v>
      </c>
      <c r="D176" s="289">
        <f t="shared" si="9"/>
        <v>8.1546393513012738E-2</v>
      </c>
      <c r="E176">
        <v>2711.0200199999999</v>
      </c>
      <c r="F176" s="289">
        <f t="shared" si="9"/>
        <v>9.2871249732820349E-2</v>
      </c>
    </row>
    <row r="177" spans="2:6" hidden="1" outlineLevel="1" x14ac:dyDescent="0.25">
      <c r="B177" s="291">
        <v>43906</v>
      </c>
      <c r="C177">
        <v>62.34</v>
      </c>
      <c r="D177" s="289">
        <f t="shared" si="9"/>
        <v>-9.7829206883623843E-2</v>
      </c>
      <c r="E177">
        <v>2386.1298830000001</v>
      </c>
      <c r="F177" s="289">
        <f t="shared" si="9"/>
        <v>-0.11984055248695646</v>
      </c>
    </row>
    <row r="178" spans="2:6" hidden="1" outlineLevel="1" x14ac:dyDescent="0.25">
      <c r="B178" s="291">
        <v>43907</v>
      </c>
      <c r="C178">
        <v>70.199996999999996</v>
      </c>
      <c r="D178" s="289">
        <f t="shared" si="9"/>
        <v>0.12608272377285834</v>
      </c>
      <c r="E178">
        <v>2529.1899410000001</v>
      </c>
      <c r="F178" s="289">
        <f t="shared" si="9"/>
        <v>5.9954849490479356E-2</v>
      </c>
    </row>
    <row r="179" spans="2:6" hidden="1" outlineLevel="1" x14ac:dyDescent="0.25">
      <c r="B179" s="291">
        <v>43908</v>
      </c>
      <c r="C179">
        <v>67.690002000000007</v>
      </c>
      <c r="D179" s="289">
        <f t="shared" si="9"/>
        <v>-3.5754916057902264E-2</v>
      </c>
      <c r="E179">
        <v>2398.1000979999999</v>
      </c>
      <c r="F179" s="289">
        <f t="shared" si="9"/>
        <v>-5.1830762440945644E-2</v>
      </c>
    </row>
    <row r="180" spans="2:6" hidden="1" outlineLevel="1" x14ac:dyDescent="0.25">
      <c r="B180" s="291">
        <v>43909</v>
      </c>
      <c r="C180">
        <v>66.650002000000001</v>
      </c>
      <c r="D180" s="289">
        <f t="shared" si="9"/>
        <v>-1.536415968786653E-2</v>
      </c>
      <c r="E180">
        <v>2409.389893</v>
      </c>
      <c r="F180" s="289">
        <f t="shared" si="9"/>
        <v>4.7078080724887172E-3</v>
      </c>
    </row>
    <row r="181" spans="2:6" hidden="1" outlineLevel="1" x14ac:dyDescent="0.25">
      <c r="B181" s="291">
        <v>43910</v>
      </c>
      <c r="C181">
        <v>62.080002</v>
      </c>
      <c r="D181" s="289">
        <f t="shared" si="9"/>
        <v>-6.8567139727917836E-2</v>
      </c>
      <c r="E181">
        <v>2304.919922</v>
      </c>
      <c r="F181" s="289">
        <f t="shared" si="9"/>
        <v>-4.3359512424085644E-2</v>
      </c>
    </row>
    <row r="182" spans="2:6" hidden="1" outlineLevel="1" x14ac:dyDescent="0.25">
      <c r="B182" s="291">
        <v>43913</v>
      </c>
      <c r="C182">
        <v>60.470001000000003</v>
      </c>
      <c r="D182" s="289">
        <f t="shared" si="9"/>
        <v>-2.5934293623250837E-2</v>
      </c>
      <c r="E182">
        <v>2237.3999020000001</v>
      </c>
      <c r="F182" s="289">
        <f t="shared" si="9"/>
        <v>-2.9293868023585024E-2</v>
      </c>
    </row>
    <row r="183" spans="2:6" hidden="1" outlineLevel="1" x14ac:dyDescent="0.25">
      <c r="B183" s="291">
        <v>43914</v>
      </c>
      <c r="C183">
        <v>61.18</v>
      </c>
      <c r="D183" s="289">
        <f t="shared" si="9"/>
        <v>1.1741342620450679E-2</v>
      </c>
      <c r="E183">
        <v>2447.330078</v>
      </c>
      <c r="F183" s="289">
        <f t="shared" si="9"/>
        <v>9.3827739874460692E-2</v>
      </c>
    </row>
    <row r="184" spans="2:6" hidden="1" outlineLevel="1" x14ac:dyDescent="0.25">
      <c r="B184" s="291">
        <v>43915</v>
      </c>
      <c r="C184">
        <v>59.889999000000003</v>
      </c>
      <c r="D184" s="289">
        <f t="shared" si="9"/>
        <v>-2.1085338345864568E-2</v>
      </c>
      <c r="E184">
        <v>2475.5600589999999</v>
      </c>
      <c r="F184" s="289">
        <f t="shared" si="9"/>
        <v>1.1535011665884554E-2</v>
      </c>
    </row>
    <row r="185" spans="2:6" hidden="1" outlineLevel="1" x14ac:dyDescent="0.25">
      <c r="B185" s="291">
        <v>43916</v>
      </c>
      <c r="C185">
        <v>63.82</v>
      </c>
      <c r="D185" s="289">
        <f t="shared" si="9"/>
        <v>6.562032168342502E-2</v>
      </c>
      <c r="E185">
        <v>2630.070068</v>
      </c>
      <c r="F185" s="289">
        <f t="shared" si="9"/>
        <v>6.2414162984360866E-2</v>
      </c>
    </row>
    <row r="186" spans="2:6" hidden="1" outlineLevel="1" x14ac:dyDescent="0.25">
      <c r="B186" s="291">
        <v>43917</v>
      </c>
      <c r="C186">
        <v>65.260002</v>
      </c>
      <c r="D186" s="289">
        <f t="shared" si="9"/>
        <v>2.2563491068630537E-2</v>
      </c>
      <c r="E186">
        <v>2541.469971</v>
      </c>
      <c r="F186" s="289">
        <f t="shared" si="9"/>
        <v>-3.3687352317337549E-2</v>
      </c>
    </row>
    <row r="187" spans="2:6" hidden="1" outlineLevel="1" x14ac:dyDescent="0.25">
      <c r="B187" s="291">
        <v>43920</v>
      </c>
      <c r="C187">
        <v>66.580001999999993</v>
      </c>
      <c r="D187" s="289">
        <f t="shared" si="9"/>
        <v>2.0226784547141108E-2</v>
      </c>
      <c r="E187">
        <v>2626.6499020000001</v>
      </c>
      <c r="F187" s="289">
        <f t="shared" si="9"/>
        <v>3.351600922771647E-2</v>
      </c>
    </row>
    <row r="188" spans="2:6" hidden="1" outlineLevel="1" x14ac:dyDescent="0.25">
      <c r="B188" s="291">
        <v>43921</v>
      </c>
      <c r="C188">
        <v>66.360000999999997</v>
      </c>
      <c r="D188" s="289">
        <f t="shared" si="9"/>
        <v>-3.3043105045265087E-3</v>
      </c>
      <c r="E188">
        <v>2584.5900879999999</v>
      </c>
      <c r="F188" s="289">
        <f t="shared" si="9"/>
        <v>-1.601272174414059E-2</v>
      </c>
    </row>
    <row r="189" spans="2:6" hidden="1" outlineLevel="1" x14ac:dyDescent="0.25">
      <c r="B189" s="291">
        <v>43922</v>
      </c>
      <c r="C189">
        <v>65.550003000000004</v>
      </c>
      <c r="D189" s="289">
        <f t="shared" si="9"/>
        <v>-1.2206117959521978E-2</v>
      </c>
      <c r="E189">
        <v>2470.5</v>
      </c>
      <c r="F189" s="289">
        <f t="shared" si="9"/>
        <v>-4.4142430372115515E-2</v>
      </c>
    </row>
    <row r="190" spans="2:6" hidden="1" outlineLevel="1" x14ac:dyDescent="0.25">
      <c r="B190" s="291">
        <v>43923</v>
      </c>
      <c r="C190">
        <v>68.169998000000007</v>
      </c>
      <c r="D190" s="289">
        <f t="shared" ref="D190:F205" si="10">C190/C189-1</f>
        <v>3.9969410832826346E-2</v>
      </c>
      <c r="E190">
        <v>2526.8999020000001</v>
      </c>
      <c r="F190" s="289">
        <f t="shared" si="10"/>
        <v>2.2829347095729702E-2</v>
      </c>
    </row>
    <row r="191" spans="2:6" hidden="1" outlineLevel="1" x14ac:dyDescent="0.25">
      <c r="B191" s="291">
        <v>43924</v>
      </c>
      <c r="C191">
        <v>67.620002999999997</v>
      </c>
      <c r="D191" s="289">
        <f t="shared" si="10"/>
        <v>-8.0679920219450807E-3</v>
      </c>
      <c r="E191">
        <v>2488.6499020000001</v>
      </c>
      <c r="F191" s="289">
        <f t="shared" si="10"/>
        <v>-1.513712512700871E-2</v>
      </c>
    </row>
    <row r="192" spans="2:6" hidden="1" outlineLevel="1" x14ac:dyDescent="0.25">
      <c r="B192" s="291">
        <v>43927</v>
      </c>
      <c r="C192">
        <v>70.5</v>
      </c>
      <c r="D192" s="289">
        <f t="shared" si="10"/>
        <v>4.2590903168105543E-2</v>
      </c>
      <c r="E192">
        <v>2663.679932</v>
      </c>
      <c r="F192" s="289">
        <f t="shared" si="10"/>
        <v>7.0331318944997889E-2</v>
      </c>
    </row>
    <row r="193" spans="2:6" hidden="1" outlineLevel="1" x14ac:dyDescent="0.25">
      <c r="B193" s="291">
        <v>43928</v>
      </c>
      <c r="C193">
        <v>69.040001000000004</v>
      </c>
      <c r="D193" s="289">
        <f t="shared" si="10"/>
        <v>-2.0709205673758779E-2</v>
      </c>
      <c r="E193">
        <v>2659.4099120000001</v>
      </c>
      <c r="F193" s="289">
        <f t="shared" si="10"/>
        <v>-1.6030529601932519E-3</v>
      </c>
    </row>
    <row r="194" spans="2:6" hidden="1" outlineLevel="1" x14ac:dyDescent="0.25">
      <c r="B194" s="291">
        <v>43929</v>
      </c>
      <c r="C194">
        <v>70.220000999999996</v>
      </c>
      <c r="D194" s="289">
        <f t="shared" si="10"/>
        <v>1.7091540888013457E-2</v>
      </c>
      <c r="E194">
        <v>2749.9799800000001</v>
      </c>
      <c r="F194" s="289">
        <f t="shared" si="10"/>
        <v>3.4056452745897747E-2</v>
      </c>
    </row>
    <row r="195" spans="2:6" hidden="1" outlineLevel="1" x14ac:dyDescent="0.25">
      <c r="B195" s="291">
        <v>43930</v>
      </c>
      <c r="C195">
        <v>69.910004000000001</v>
      </c>
      <c r="D195" s="289">
        <f t="shared" si="10"/>
        <v>-4.4146538818761183E-3</v>
      </c>
      <c r="E195">
        <v>2789.820068</v>
      </c>
      <c r="F195" s="289">
        <f t="shared" si="10"/>
        <v>1.4487410195618944E-2</v>
      </c>
    </row>
    <row r="196" spans="2:6" hidden="1" outlineLevel="1" x14ac:dyDescent="0.25">
      <c r="B196" s="291">
        <v>43934</v>
      </c>
      <c r="C196">
        <v>69.489998</v>
      </c>
      <c r="D196" s="289">
        <f t="shared" si="10"/>
        <v>-6.0078096977365103E-3</v>
      </c>
      <c r="E196">
        <v>2761.6298830000001</v>
      </c>
      <c r="F196" s="289">
        <f t="shared" si="10"/>
        <v>-1.0104660627883844E-2</v>
      </c>
    </row>
    <row r="197" spans="2:6" hidden="1" outlineLevel="1" x14ac:dyDescent="0.25">
      <c r="B197" s="291">
        <v>43935</v>
      </c>
      <c r="C197">
        <v>73.110000999999997</v>
      </c>
      <c r="D197" s="289">
        <f t="shared" si="10"/>
        <v>5.2093871120848068E-2</v>
      </c>
      <c r="E197">
        <v>2846.0600589999999</v>
      </c>
      <c r="F197" s="289">
        <f t="shared" si="10"/>
        <v>3.0572589223390789E-2</v>
      </c>
    </row>
    <row r="198" spans="2:6" hidden="1" outlineLevel="1" x14ac:dyDescent="0.25">
      <c r="B198" s="291">
        <v>43936</v>
      </c>
      <c r="C198">
        <v>72.650002000000001</v>
      </c>
      <c r="D198" s="289">
        <f t="shared" si="10"/>
        <v>-6.2918751704024167E-3</v>
      </c>
      <c r="E198">
        <v>2783.360107</v>
      </c>
      <c r="F198" s="289">
        <f t="shared" si="10"/>
        <v>-2.2030438817243536E-2</v>
      </c>
    </row>
    <row r="199" spans="2:6" hidden="1" outlineLevel="1" x14ac:dyDescent="0.25">
      <c r="B199" s="291">
        <v>43937</v>
      </c>
      <c r="C199">
        <v>72.839995999999999</v>
      </c>
      <c r="D199" s="289">
        <f t="shared" si="10"/>
        <v>2.6151960739106972E-3</v>
      </c>
      <c r="E199">
        <v>2799.5500489999999</v>
      </c>
      <c r="F199" s="289">
        <f t="shared" si="10"/>
        <v>5.8166896763673925E-3</v>
      </c>
    </row>
    <row r="200" spans="2:6" hidden="1" outlineLevel="1" x14ac:dyDescent="0.25">
      <c r="B200" s="291">
        <v>43938</v>
      </c>
      <c r="C200">
        <v>73.419998000000007</v>
      </c>
      <c r="D200" s="289">
        <f t="shared" si="10"/>
        <v>7.9626857749965918E-3</v>
      </c>
      <c r="E200">
        <v>2874.5600589999999</v>
      </c>
      <c r="F200" s="289">
        <f t="shared" si="10"/>
        <v>2.6793594930297315E-2</v>
      </c>
    </row>
    <row r="201" spans="2:6" hidden="1" outlineLevel="1" x14ac:dyDescent="0.25">
      <c r="B201" s="291">
        <v>43941</v>
      </c>
      <c r="C201">
        <v>72.160004000000001</v>
      </c>
      <c r="D201" s="289">
        <f t="shared" si="10"/>
        <v>-1.7161455111998292E-2</v>
      </c>
      <c r="E201">
        <v>2823.1599120000001</v>
      </c>
      <c r="F201" s="289">
        <f t="shared" si="10"/>
        <v>-1.7881048210862893E-2</v>
      </c>
    </row>
    <row r="202" spans="2:6" hidden="1" outlineLevel="1" x14ac:dyDescent="0.25">
      <c r="B202" s="291">
        <v>43942</v>
      </c>
      <c r="C202">
        <v>70.610000999999997</v>
      </c>
      <c r="D202" s="289">
        <f t="shared" si="10"/>
        <v>-2.1480084729485371E-2</v>
      </c>
      <c r="E202">
        <v>2736.5600589999999</v>
      </c>
      <c r="F202" s="289">
        <f t="shared" si="10"/>
        <v>-3.0674795512610764E-2</v>
      </c>
    </row>
    <row r="203" spans="2:6" hidden="1" outlineLevel="1" x14ac:dyDescent="0.25">
      <c r="B203" s="291">
        <v>43943</v>
      </c>
      <c r="C203">
        <v>71.209998999999996</v>
      </c>
      <c r="D203" s="289">
        <f t="shared" si="10"/>
        <v>8.4973515295658775E-3</v>
      </c>
      <c r="E203">
        <v>2799.3100589999999</v>
      </c>
      <c r="F203" s="289">
        <f t="shared" si="10"/>
        <v>2.2930247700439832E-2</v>
      </c>
    </row>
    <row r="204" spans="2:6" hidden="1" outlineLevel="1" x14ac:dyDescent="0.25">
      <c r="B204" s="291">
        <v>43944</v>
      </c>
      <c r="C204">
        <v>71.230002999999996</v>
      </c>
      <c r="D204" s="289">
        <f t="shared" si="10"/>
        <v>2.809156056862161E-4</v>
      </c>
      <c r="E204">
        <v>2797.8000489999999</v>
      </c>
      <c r="F204" s="289">
        <f t="shared" si="10"/>
        <v>-5.3942220339087132E-4</v>
      </c>
    </row>
    <row r="205" spans="2:6" hidden="1" outlineLevel="1" x14ac:dyDescent="0.25">
      <c r="B205" s="291">
        <v>43945</v>
      </c>
      <c r="C205">
        <v>71.400002000000001</v>
      </c>
      <c r="D205" s="289">
        <f t="shared" si="10"/>
        <v>2.3866207053226951E-3</v>
      </c>
      <c r="E205">
        <v>2836.73999</v>
      </c>
      <c r="F205" s="289">
        <f t="shared" si="10"/>
        <v>1.3918057158487152E-2</v>
      </c>
    </row>
    <row r="206" spans="2:6" hidden="1" outlineLevel="1" x14ac:dyDescent="0.25">
      <c r="B206" s="291">
        <v>43948</v>
      </c>
      <c r="C206">
        <v>71.029999000000004</v>
      </c>
      <c r="D206" s="289">
        <f t="shared" ref="D206:F221" si="11">C206/C205-1</f>
        <v>-5.1821147007810042E-3</v>
      </c>
      <c r="E206">
        <v>2878.4799800000001</v>
      </c>
      <c r="F206" s="289">
        <f t="shared" si="11"/>
        <v>1.4714069723394063E-2</v>
      </c>
    </row>
    <row r="207" spans="2:6" hidden="1" outlineLevel="1" x14ac:dyDescent="0.25">
      <c r="B207" s="291">
        <v>43949</v>
      </c>
      <c r="C207">
        <v>71.110000999999997</v>
      </c>
      <c r="D207" s="289">
        <f t="shared" si="11"/>
        <v>1.1263128414233936E-3</v>
      </c>
      <c r="E207">
        <v>2863.389893</v>
      </c>
      <c r="F207" s="289">
        <f t="shared" si="11"/>
        <v>-5.2423803899446231E-3</v>
      </c>
    </row>
    <row r="208" spans="2:6" hidden="1" outlineLevel="1" x14ac:dyDescent="0.25">
      <c r="B208" s="291">
        <v>43950</v>
      </c>
      <c r="C208">
        <v>70.160004000000001</v>
      </c>
      <c r="D208" s="289">
        <f t="shared" si="11"/>
        <v>-1.3359541367465311E-2</v>
      </c>
      <c r="E208">
        <v>2939.51001</v>
      </c>
      <c r="F208" s="289">
        <f t="shared" si="11"/>
        <v>2.6583916212768344E-2</v>
      </c>
    </row>
    <row r="209" spans="2:6" hidden="1" outlineLevel="1" x14ac:dyDescent="0.25">
      <c r="B209" s="291">
        <v>43951</v>
      </c>
      <c r="C209">
        <v>70.269997000000004</v>
      </c>
      <c r="D209" s="289">
        <f t="shared" si="11"/>
        <v>1.5677450645528168E-3</v>
      </c>
      <c r="E209">
        <v>2912.429932</v>
      </c>
      <c r="F209" s="289">
        <f t="shared" si="11"/>
        <v>-9.2124462607290347E-3</v>
      </c>
    </row>
    <row r="210" spans="2:6" hidden="1" outlineLevel="1" x14ac:dyDescent="0.25">
      <c r="B210" s="291">
        <v>43952</v>
      </c>
      <c r="C210">
        <v>68.529999000000004</v>
      </c>
      <c r="D210" s="289">
        <f t="shared" si="11"/>
        <v>-2.4761606294077421E-2</v>
      </c>
      <c r="E210">
        <v>2830.709961</v>
      </c>
      <c r="F210" s="289">
        <f t="shared" si="11"/>
        <v>-2.8059034176963649E-2</v>
      </c>
    </row>
    <row r="211" spans="2:6" hidden="1" outlineLevel="1" x14ac:dyDescent="0.25">
      <c r="B211" s="291">
        <v>43955</v>
      </c>
      <c r="C211">
        <v>69.480002999999996</v>
      </c>
      <c r="D211" s="289">
        <f t="shared" si="11"/>
        <v>1.386260052331223E-2</v>
      </c>
      <c r="E211">
        <v>2842.73999</v>
      </c>
      <c r="F211" s="289">
        <f t="shared" si="11"/>
        <v>4.2498274870061969E-3</v>
      </c>
    </row>
    <row r="212" spans="2:6" hidden="1" outlineLevel="1" x14ac:dyDescent="0.25">
      <c r="B212" s="291">
        <v>43956</v>
      </c>
      <c r="C212">
        <v>69.519997000000004</v>
      </c>
      <c r="D212" s="289">
        <f t="shared" si="11"/>
        <v>5.7561885827794868E-4</v>
      </c>
      <c r="E212">
        <v>2868.4399410000001</v>
      </c>
      <c r="F212" s="289">
        <f t="shared" si="11"/>
        <v>9.0405563260818056E-3</v>
      </c>
    </row>
    <row r="213" spans="2:6" hidden="1" outlineLevel="1" x14ac:dyDescent="0.25">
      <c r="B213" s="291">
        <v>43957</v>
      </c>
      <c r="C213">
        <v>67.839995999999999</v>
      </c>
      <c r="D213" s="289">
        <f t="shared" si="11"/>
        <v>-2.4165723137186013E-2</v>
      </c>
      <c r="E213">
        <v>2848.419922</v>
      </c>
      <c r="F213" s="289">
        <f t="shared" si="11"/>
        <v>-6.9794102061696561E-3</v>
      </c>
    </row>
    <row r="214" spans="2:6" hidden="1" outlineLevel="1" x14ac:dyDescent="0.25">
      <c r="B214" s="291">
        <v>43958</v>
      </c>
      <c r="C214">
        <v>68.800003000000004</v>
      </c>
      <c r="D214" s="289">
        <f t="shared" si="11"/>
        <v>1.415104741456652E-2</v>
      </c>
      <c r="E214">
        <v>2881.1899410000001</v>
      </c>
      <c r="F214" s="289">
        <f t="shared" si="11"/>
        <v>1.1504630601302246E-2</v>
      </c>
    </row>
    <row r="215" spans="2:6" hidden="1" outlineLevel="1" x14ac:dyDescent="0.25">
      <c r="B215" s="291">
        <v>43959</v>
      </c>
      <c r="C215">
        <v>69.370002999999997</v>
      </c>
      <c r="D215" s="289">
        <f t="shared" si="11"/>
        <v>8.2848833596707028E-3</v>
      </c>
      <c r="E215">
        <v>2929.8000489999999</v>
      </c>
      <c r="F215" s="289">
        <f t="shared" si="11"/>
        <v>1.6871538841735756E-2</v>
      </c>
    </row>
    <row r="216" spans="2:6" hidden="1" outlineLevel="1" x14ac:dyDescent="0.25">
      <c r="B216" s="291">
        <v>43962</v>
      </c>
      <c r="C216">
        <v>69.379997000000003</v>
      </c>
      <c r="D216" s="289">
        <f t="shared" si="11"/>
        <v>1.4406803470956575E-4</v>
      </c>
      <c r="E216">
        <v>2930.1899410000001</v>
      </c>
      <c r="F216" s="289">
        <f t="shared" si="11"/>
        <v>1.3307802357820364E-4</v>
      </c>
    </row>
    <row r="217" spans="2:6" hidden="1" outlineLevel="1" x14ac:dyDescent="0.25">
      <c r="B217" s="291">
        <v>43963</v>
      </c>
      <c r="C217">
        <v>68.730002999999996</v>
      </c>
      <c r="D217" s="289">
        <f t="shared" si="11"/>
        <v>-9.3686080730157606E-3</v>
      </c>
      <c r="E217">
        <v>2870.1201169999999</v>
      </c>
      <c r="F217" s="289">
        <f t="shared" si="11"/>
        <v>-2.0500317457065598E-2</v>
      </c>
    </row>
    <row r="218" spans="2:6" hidden="1" outlineLevel="1" x14ac:dyDescent="0.25">
      <c r="B218" s="291">
        <v>43964</v>
      </c>
      <c r="C218">
        <v>68.300003000000004</v>
      </c>
      <c r="D218" s="289">
        <f t="shared" si="11"/>
        <v>-6.2563652150574578E-3</v>
      </c>
      <c r="E218">
        <v>2820</v>
      </c>
      <c r="F218" s="289">
        <f t="shared" si="11"/>
        <v>-1.7462724540040497E-2</v>
      </c>
    </row>
    <row r="219" spans="2:6" hidden="1" outlineLevel="1" x14ac:dyDescent="0.25">
      <c r="B219" s="291">
        <v>43965</v>
      </c>
      <c r="C219">
        <v>67.059997999999993</v>
      </c>
      <c r="D219" s="289">
        <f t="shared" si="11"/>
        <v>-1.8155270066386509E-2</v>
      </c>
      <c r="E219">
        <v>2852.5</v>
      </c>
      <c r="F219" s="289">
        <f t="shared" si="11"/>
        <v>1.1524822695035519E-2</v>
      </c>
    </row>
    <row r="220" spans="2:6" hidden="1" outlineLevel="1" x14ac:dyDescent="0.25">
      <c r="B220" s="291">
        <v>43966</v>
      </c>
      <c r="C220">
        <v>68.949996999999996</v>
      </c>
      <c r="D220" s="289">
        <f t="shared" si="11"/>
        <v>2.8183702003689248E-2</v>
      </c>
      <c r="E220">
        <v>2863.6999510000001</v>
      </c>
      <c r="F220" s="289">
        <f t="shared" si="11"/>
        <v>3.9263631901840235E-3</v>
      </c>
    </row>
    <row r="221" spans="2:6" hidden="1" outlineLevel="1" x14ac:dyDescent="0.25">
      <c r="B221" s="291">
        <v>43969</v>
      </c>
      <c r="C221">
        <v>70.220000999999996</v>
      </c>
      <c r="D221" s="289">
        <f t="shared" si="11"/>
        <v>1.8419203121937677E-2</v>
      </c>
      <c r="E221">
        <v>2953.9099120000001</v>
      </c>
      <c r="F221" s="289">
        <f t="shared" si="11"/>
        <v>3.1501191655396221E-2</v>
      </c>
    </row>
    <row r="222" spans="2:6" hidden="1" outlineLevel="1" x14ac:dyDescent="0.25">
      <c r="B222" s="291">
        <v>43970</v>
      </c>
      <c r="C222">
        <v>69.25</v>
      </c>
      <c r="D222" s="289">
        <f t="shared" ref="D222:F237" si="12">C222/C221-1</f>
        <v>-1.3813742326776568E-2</v>
      </c>
      <c r="E222">
        <v>2922.9399410000001</v>
      </c>
      <c r="F222" s="289">
        <f t="shared" si="12"/>
        <v>-1.0484399295383806E-2</v>
      </c>
    </row>
    <row r="223" spans="2:6" hidden="1" outlineLevel="1" x14ac:dyDescent="0.25">
      <c r="B223" s="291">
        <v>43971</v>
      </c>
      <c r="C223">
        <v>70.470000999999996</v>
      </c>
      <c r="D223" s="289">
        <f t="shared" si="12"/>
        <v>1.7617342960288829E-2</v>
      </c>
      <c r="E223">
        <v>2971.610107</v>
      </c>
      <c r="F223" s="289">
        <f t="shared" si="12"/>
        <v>1.6651100256048545E-2</v>
      </c>
    </row>
    <row r="224" spans="2:6" hidden="1" outlineLevel="1" x14ac:dyDescent="0.25">
      <c r="B224" s="291">
        <v>43972</v>
      </c>
      <c r="C224">
        <v>70.260002</v>
      </c>
      <c r="D224" s="289">
        <f t="shared" si="12"/>
        <v>-2.9799772530156865E-3</v>
      </c>
      <c r="E224">
        <v>2948.51001</v>
      </c>
      <c r="F224" s="289">
        <f t="shared" si="12"/>
        <v>-7.7735961880008864E-3</v>
      </c>
    </row>
    <row r="225" spans="2:6" hidden="1" outlineLevel="1" x14ac:dyDescent="0.25">
      <c r="B225" s="291">
        <v>43973</v>
      </c>
      <c r="C225">
        <v>70.75</v>
      </c>
      <c r="D225" s="289">
        <f t="shared" si="12"/>
        <v>6.9740675498415339E-3</v>
      </c>
      <c r="E225">
        <v>2955.4499510000001</v>
      </c>
      <c r="F225" s="289">
        <f t="shared" si="12"/>
        <v>2.3537111885199025E-3</v>
      </c>
    </row>
    <row r="226" spans="2:6" hidden="1" outlineLevel="1" x14ac:dyDescent="0.25">
      <c r="B226" s="291">
        <v>43977</v>
      </c>
      <c r="C226">
        <v>69.430000000000007</v>
      </c>
      <c r="D226" s="289">
        <f t="shared" si="12"/>
        <v>-1.8657243816254332E-2</v>
      </c>
      <c r="E226">
        <v>2991.7700199999999</v>
      </c>
      <c r="F226" s="289">
        <f t="shared" si="12"/>
        <v>1.2289184253555296E-2</v>
      </c>
    </row>
    <row r="227" spans="2:6" hidden="1" outlineLevel="1" x14ac:dyDescent="0.25">
      <c r="B227" s="291">
        <v>43978</v>
      </c>
      <c r="C227">
        <v>70.589995999999999</v>
      </c>
      <c r="D227" s="289">
        <f t="shared" si="12"/>
        <v>1.6707417542848768E-2</v>
      </c>
      <c r="E227">
        <v>3036.1298830000001</v>
      </c>
      <c r="F227" s="289">
        <f t="shared" si="12"/>
        <v>1.4827297119582861E-2</v>
      </c>
    </row>
    <row r="228" spans="2:6" hidden="1" outlineLevel="1" x14ac:dyDescent="0.25">
      <c r="B228" s="291">
        <v>43979</v>
      </c>
      <c r="C228">
        <v>72.089995999999999</v>
      </c>
      <c r="D228" s="289">
        <f t="shared" si="12"/>
        <v>2.1249469967387524E-2</v>
      </c>
      <c r="E228">
        <v>3029.7299800000001</v>
      </c>
      <c r="F228" s="289">
        <f t="shared" si="12"/>
        <v>-2.1079147620906014E-3</v>
      </c>
    </row>
    <row r="229" spans="2:6" hidden="1" outlineLevel="1" x14ac:dyDescent="0.25">
      <c r="B229" s="291">
        <v>43980</v>
      </c>
      <c r="C229">
        <v>72.330001999999993</v>
      </c>
      <c r="D229" s="289">
        <f t="shared" si="12"/>
        <v>3.3292552825221478E-3</v>
      </c>
      <c r="E229">
        <v>3044.3100589999999</v>
      </c>
      <c r="F229" s="289">
        <f t="shared" si="12"/>
        <v>4.8123361145206989E-3</v>
      </c>
    </row>
    <row r="230" spans="2:6" hidden="1" outlineLevel="1" x14ac:dyDescent="0.25">
      <c r="B230" s="291">
        <v>43983</v>
      </c>
      <c r="C230">
        <v>72.730002999999996</v>
      </c>
      <c r="D230" s="289">
        <f t="shared" si="12"/>
        <v>5.5302224379865095E-3</v>
      </c>
      <c r="E230">
        <v>3055.7299800000001</v>
      </c>
      <c r="F230" s="289">
        <f t="shared" si="12"/>
        <v>3.7512345256156543E-3</v>
      </c>
    </row>
    <row r="231" spans="2:6" hidden="1" outlineLevel="1" x14ac:dyDescent="0.25">
      <c r="B231" s="291">
        <v>43984</v>
      </c>
      <c r="C231">
        <v>72.440002000000007</v>
      </c>
      <c r="D231" s="289">
        <f t="shared" si="12"/>
        <v>-3.9873640593688364E-3</v>
      </c>
      <c r="E231">
        <v>3080.820068</v>
      </c>
      <c r="F231" s="289">
        <f t="shared" si="12"/>
        <v>8.2108328171064393E-3</v>
      </c>
    </row>
    <row r="232" spans="2:6" hidden="1" outlineLevel="1" x14ac:dyDescent="0.25">
      <c r="B232" s="291">
        <v>43985</v>
      </c>
      <c r="C232">
        <v>71.650002000000001</v>
      </c>
      <c r="D232" s="289">
        <f t="shared" si="12"/>
        <v>-1.090557672817305E-2</v>
      </c>
      <c r="E232">
        <v>3122.8701169999999</v>
      </c>
      <c r="F232" s="289">
        <f t="shared" si="12"/>
        <v>1.3648979191211774E-2</v>
      </c>
    </row>
    <row r="233" spans="2:6" hidden="1" outlineLevel="1" x14ac:dyDescent="0.25">
      <c r="B233" s="291">
        <v>43986</v>
      </c>
      <c r="C233">
        <v>70.75</v>
      </c>
      <c r="D233" s="289">
        <f t="shared" si="12"/>
        <v>-1.2561088274638199E-2</v>
      </c>
      <c r="E233">
        <v>3112.3500979999999</v>
      </c>
      <c r="F233" s="289">
        <f t="shared" si="12"/>
        <v>-3.3687020612007679E-3</v>
      </c>
    </row>
    <row r="234" spans="2:6" hidden="1" outlineLevel="1" x14ac:dyDescent="0.25">
      <c r="B234" s="291">
        <v>43987</v>
      </c>
      <c r="C234">
        <v>72.400002000000001</v>
      </c>
      <c r="D234" s="289">
        <f t="shared" si="12"/>
        <v>2.3321583038869331E-2</v>
      </c>
      <c r="E234">
        <v>3193.929932</v>
      </c>
      <c r="F234" s="289">
        <f t="shared" si="12"/>
        <v>2.6211650820524124E-2</v>
      </c>
    </row>
    <row r="235" spans="2:6" hidden="1" outlineLevel="1" x14ac:dyDescent="0.25">
      <c r="B235" s="291">
        <v>43990</v>
      </c>
      <c r="C235">
        <v>73.510002</v>
      </c>
      <c r="D235" s="289">
        <f t="shared" si="12"/>
        <v>1.5331491289185317E-2</v>
      </c>
      <c r="E235">
        <v>3232.389893</v>
      </c>
      <c r="F235" s="289">
        <f t="shared" si="12"/>
        <v>1.2041579439382666E-2</v>
      </c>
    </row>
    <row r="236" spans="2:6" hidden="1" outlineLevel="1" x14ac:dyDescent="0.25">
      <c r="B236" s="291">
        <v>43991</v>
      </c>
      <c r="C236">
        <v>73.279999000000004</v>
      </c>
      <c r="D236" s="289">
        <f t="shared" si="12"/>
        <v>-3.1288667357129984E-3</v>
      </c>
      <c r="E236">
        <v>3207.179932</v>
      </c>
      <c r="F236" s="289">
        <f t="shared" si="12"/>
        <v>-7.7991708409292926E-3</v>
      </c>
    </row>
    <row r="237" spans="2:6" hidden="1" outlineLevel="1" x14ac:dyDescent="0.25">
      <c r="B237" s="291">
        <v>43992</v>
      </c>
      <c r="C237">
        <v>74.360000999999997</v>
      </c>
      <c r="D237" s="289">
        <f t="shared" si="12"/>
        <v>1.4738018760071192E-2</v>
      </c>
      <c r="E237">
        <v>3190.139893</v>
      </c>
      <c r="F237" s="289">
        <f t="shared" si="12"/>
        <v>-5.3130910523544461E-3</v>
      </c>
    </row>
    <row r="238" spans="2:6" hidden="1" outlineLevel="1" x14ac:dyDescent="0.25">
      <c r="B238" s="291">
        <v>43993</v>
      </c>
      <c r="C238">
        <v>73.099997999999999</v>
      </c>
      <c r="D238" s="289">
        <f t="shared" ref="D238:F253" si="13">C238/C237-1</f>
        <v>-1.6944633984068869E-2</v>
      </c>
      <c r="E238">
        <v>3002.1000979999999</v>
      </c>
      <c r="F238" s="289">
        <f t="shared" si="13"/>
        <v>-5.8944059291132778E-2</v>
      </c>
    </row>
    <row r="239" spans="2:6" hidden="1" outlineLevel="1" x14ac:dyDescent="0.25">
      <c r="B239" s="291">
        <v>43994</v>
      </c>
      <c r="C239">
        <v>72.790001000000004</v>
      </c>
      <c r="D239" s="289">
        <f t="shared" si="13"/>
        <v>-4.2407251502249999E-3</v>
      </c>
      <c r="E239">
        <v>3041.3100589999999</v>
      </c>
      <c r="F239" s="289">
        <f t="shared" si="13"/>
        <v>1.3060843982557913E-2</v>
      </c>
    </row>
    <row r="240" spans="2:6" hidden="1" outlineLevel="1" x14ac:dyDescent="0.25">
      <c r="B240" s="291">
        <v>43997</v>
      </c>
      <c r="C240">
        <v>72.889999000000003</v>
      </c>
      <c r="D240" s="289">
        <f t="shared" si="13"/>
        <v>1.3737875893147233E-3</v>
      </c>
      <c r="E240">
        <v>3066.5900879999999</v>
      </c>
      <c r="F240" s="289">
        <f t="shared" si="13"/>
        <v>8.3122169425606796E-3</v>
      </c>
    </row>
    <row r="241" spans="2:6" hidden="1" outlineLevel="1" x14ac:dyDescent="0.25">
      <c r="B241" s="291">
        <v>43998</v>
      </c>
      <c r="C241">
        <v>73.529999000000004</v>
      </c>
      <c r="D241" s="289">
        <f t="shared" si="13"/>
        <v>8.7803540784792133E-3</v>
      </c>
      <c r="E241">
        <v>3124.73999</v>
      </c>
      <c r="F241" s="289">
        <f t="shared" si="13"/>
        <v>1.8962398081031173E-2</v>
      </c>
    </row>
    <row r="242" spans="2:6" hidden="1" outlineLevel="1" x14ac:dyDescent="0.25">
      <c r="B242" s="291">
        <v>43999</v>
      </c>
      <c r="C242">
        <v>73.809997999999993</v>
      </c>
      <c r="D242" s="289">
        <f t="shared" si="13"/>
        <v>3.8079559881400993E-3</v>
      </c>
      <c r="E242">
        <v>3113.48999</v>
      </c>
      <c r="F242" s="289">
        <f t="shared" si="13"/>
        <v>-3.600299556444031E-3</v>
      </c>
    </row>
    <row r="243" spans="2:6" hidden="1" outlineLevel="1" x14ac:dyDescent="0.25">
      <c r="B243" s="291">
        <v>44000</v>
      </c>
      <c r="C243">
        <v>73.610000999999997</v>
      </c>
      <c r="D243" s="289">
        <f t="shared" si="13"/>
        <v>-2.7096193662001777E-3</v>
      </c>
      <c r="E243">
        <v>3115.3400879999999</v>
      </c>
      <c r="F243" s="289">
        <f t="shared" si="13"/>
        <v>5.9421999297959438E-4</v>
      </c>
    </row>
    <row r="244" spans="2:6" hidden="1" outlineLevel="1" x14ac:dyDescent="0.25">
      <c r="B244" s="291">
        <v>44001</v>
      </c>
      <c r="C244">
        <v>73.360000999999997</v>
      </c>
      <c r="D244" s="289">
        <f t="shared" si="13"/>
        <v>-3.3962776335242362E-3</v>
      </c>
      <c r="E244">
        <v>3097.73999</v>
      </c>
      <c r="F244" s="289">
        <f t="shared" si="13"/>
        <v>-5.6494949196056465E-3</v>
      </c>
    </row>
    <row r="245" spans="2:6" hidden="1" outlineLevel="1" x14ac:dyDescent="0.25">
      <c r="B245" s="291">
        <v>44004</v>
      </c>
      <c r="C245">
        <v>73.099997999999999</v>
      </c>
      <c r="D245" s="289">
        <f t="shared" si="13"/>
        <v>-3.5442066038139375E-3</v>
      </c>
      <c r="E245">
        <v>3117.860107</v>
      </c>
      <c r="F245" s="289">
        <f t="shared" si="13"/>
        <v>6.4950954776550329E-3</v>
      </c>
    </row>
    <row r="246" spans="2:6" hidden="1" outlineLevel="1" x14ac:dyDescent="0.25">
      <c r="B246" s="291">
        <v>44005</v>
      </c>
      <c r="C246">
        <v>72.919998000000007</v>
      </c>
      <c r="D246" s="289">
        <f t="shared" si="13"/>
        <v>-2.4623803683276879E-3</v>
      </c>
      <c r="E246">
        <v>3131.290039</v>
      </c>
      <c r="F246" s="289">
        <f t="shared" si="13"/>
        <v>4.3074196850103608E-3</v>
      </c>
    </row>
    <row r="247" spans="2:6" hidden="1" outlineLevel="1" x14ac:dyDescent="0.25">
      <c r="B247" s="291">
        <v>44006</v>
      </c>
      <c r="C247">
        <v>72.029999000000004</v>
      </c>
      <c r="D247" s="289">
        <f t="shared" si="13"/>
        <v>-1.220514295680597E-2</v>
      </c>
      <c r="E247">
        <v>3050.330078</v>
      </c>
      <c r="F247" s="289">
        <f t="shared" si="13"/>
        <v>-2.5855145959540415E-2</v>
      </c>
    </row>
    <row r="248" spans="2:6" hidden="1" outlineLevel="1" x14ac:dyDescent="0.25">
      <c r="B248" s="291">
        <v>44007</v>
      </c>
      <c r="C248">
        <v>72.639999000000003</v>
      </c>
      <c r="D248" s="289">
        <f t="shared" si="13"/>
        <v>8.4686937174607291E-3</v>
      </c>
      <c r="E248">
        <v>3083.76001</v>
      </c>
      <c r="F248" s="289">
        <f t="shared" si="13"/>
        <v>1.0959447386073906E-2</v>
      </c>
    </row>
    <row r="249" spans="2:6" hidden="1" outlineLevel="1" x14ac:dyDescent="0.25">
      <c r="B249" s="291">
        <v>44008</v>
      </c>
      <c r="C249">
        <v>71.519997000000004</v>
      </c>
      <c r="D249" s="289">
        <f t="shared" si="13"/>
        <v>-1.541852994794235E-2</v>
      </c>
      <c r="E249">
        <v>3009.0500489999999</v>
      </c>
      <c r="F249" s="289">
        <f t="shared" si="13"/>
        <v>-2.4226905063212123E-2</v>
      </c>
    </row>
    <row r="250" spans="2:6" hidden="1" outlineLevel="1" x14ac:dyDescent="0.25">
      <c r="B250" s="291">
        <v>44011</v>
      </c>
      <c r="C250">
        <v>72.430000000000007</v>
      </c>
      <c r="D250" s="289">
        <f t="shared" si="13"/>
        <v>1.2723756126555852E-2</v>
      </c>
      <c r="E250">
        <v>3053.23999</v>
      </c>
      <c r="F250" s="289">
        <f t="shared" si="13"/>
        <v>1.468567829727041E-2</v>
      </c>
    </row>
    <row r="251" spans="2:6" hidden="1" outlineLevel="1" x14ac:dyDescent="0.25">
      <c r="B251" s="291">
        <v>44012</v>
      </c>
      <c r="C251">
        <v>73.260002</v>
      </c>
      <c r="D251" s="289">
        <f t="shared" si="13"/>
        <v>1.1459367665331843E-2</v>
      </c>
      <c r="E251">
        <v>3100.290039</v>
      </c>
      <c r="F251" s="289">
        <f t="shared" si="13"/>
        <v>1.5409875789030192E-2</v>
      </c>
    </row>
    <row r="252" spans="2:6" hidden="1" outlineLevel="1" x14ac:dyDescent="0.25">
      <c r="B252" s="291">
        <v>44013</v>
      </c>
      <c r="C252">
        <v>73.029999000000004</v>
      </c>
      <c r="D252" s="289">
        <f t="shared" si="13"/>
        <v>-3.1395440038344269E-3</v>
      </c>
      <c r="E252">
        <v>3115.860107</v>
      </c>
      <c r="F252" s="289">
        <f t="shared" si="13"/>
        <v>5.0221327050492537E-3</v>
      </c>
    </row>
    <row r="253" spans="2:6" hidden="1" outlineLevel="1" x14ac:dyDescent="0.25">
      <c r="B253" s="291">
        <v>44014</v>
      </c>
      <c r="C253">
        <v>73.279999000000004</v>
      </c>
      <c r="D253" s="289">
        <f t="shared" si="13"/>
        <v>3.4232507657572242E-3</v>
      </c>
      <c r="E253">
        <v>3130.01001</v>
      </c>
      <c r="F253" s="289">
        <f t="shared" si="13"/>
        <v>4.541251055594886E-3</v>
      </c>
    </row>
    <row r="254" spans="2:6" hidden="1" outlineLevel="1" x14ac:dyDescent="0.25">
      <c r="B254" s="291">
        <v>44018</v>
      </c>
      <c r="C254">
        <v>73.449996999999996</v>
      </c>
      <c r="D254" s="289">
        <f t="shared" ref="D254:F269" si="14">C254/C253-1</f>
        <v>2.31984173471389E-3</v>
      </c>
      <c r="E254">
        <v>3179.719971</v>
      </c>
      <c r="F254" s="289">
        <f t="shared" si="14"/>
        <v>1.5881725886237597E-2</v>
      </c>
    </row>
    <row r="255" spans="2:6" hidden="1" outlineLevel="1" x14ac:dyDescent="0.25">
      <c r="B255" s="291">
        <v>44019</v>
      </c>
      <c r="C255">
        <v>73.970000999999996</v>
      </c>
      <c r="D255" s="289">
        <f t="shared" si="14"/>
        <v>7.0797007656786537E-3</v>
      </c>
      <c r="E255">
        <v>3145.320068</v>
      </c>
      <c r="F255" s="289">
        <f t="shared" si="14"/>
        <v>-1.0818532233573208E-2</v>
      </c>
    </row>
    <row r="256" spans="2:6" hidden="1" outlineLevel="1" x14ac:dyDescent="0.25">
      <c r="B256" s="291">
        <v>44020</v>
      </c>
      <c r="C256">
        <v>74.489998</v>
      </c>
      <c r="D256" s="289">
        <f t="shared" si="14"/>
        <v>7.0298363251339868E-3</v>
      </c>
      <c r="E256">
        <v>3169.9399410000001</v>
      </c>
      <c r="F256" s="289">
        <f t="shared" si="14"/>
        <v>7.8274619014067071E-3</v>
      </c>
    </row>
    <row r="257" spans="2:6" hidden="1" outlineLevel="1" x14ac:dyDescent="0.25">
      <c r="B257" s="291">
        <v>44021</v>
      </c>
      <c r="C257">
        <v>73.319999999999993</v>
      </c>
      <c r="D257" s="289">
        <f t="shared" si="14"/>
        <v>-1.5706779855196196E-2</v>
      </c>
      <c r="E257">
        <v>3152.0500489999999</v>
      </c>
      <c r="F257" s="289">
        <f t="shared" si="14"/>
        <v>-5.6436059777070779E-3</v>
      </c>
    </row>
    <row r="258" spans="2:6" hidden="1" outlineLevel="1" x14ac:dyDescent="0.25">
      <c r="B258" s="291">
        <v>44022</v>
      </c>
      <c r="C258">
        <v>73.680000000000007</v>
      </c>
      <c r="D258" s="289">
        <f t="shared" si="14"/>
        <v>4.9099836333881264E-3</v>
      </c>
      <c r="E258">
        <v>3185.040039</v>
      </c>
      <c r="F258" s="289">
        <f t="shared" si="14"/>
        <v>1.0466201198317426E-2</v>
      </c>
    </row>
    <row r="259" spans="2:6" hidden="1" outlineLevel="1" x14ac:dyDescent="0.25">
      <c r="B259" s="291">
        <v>44025</v>
      </c>
      <c r="C259">
        <v>73.459998999999996</v>
      </c>
      <c r="D259" s="289">
        <f t="shared" si="14"/>
        <v>-2.9858984799132626E-3</v>
      </c>
      <c r="E259">
        <v>3155.219971</v>
      </c>
      <c r="F259" s="289">
        <f t="shared" si="14"/>
        <v>-9.3625410151397803E-3</v>
      </c>
    </row>
    <row r="260" spans="2:6" hidden="1" outlineLevel="1" x14ac:dyDescent="0.25">
      <c r="B260" s="291">
        <v>44026</v>
      </c>
      <c r="C260">
        <v>74.849997999999999</v>
      </c>
      <c r="D260" s="289">
        <f t="shared" si="14"/>
        <v>1.8921848882682335E-2</v>
      </c>
      <c r="E260">
        <v>3197.5200199999999</v>
      </c>
      <c r="F260" s="289">
        <f t="shared" si="14"/>
        <v>1.3406370835879811E-2</v>
      </c>
    </row>
    <row r="261" spans="2:6" hidden="1" outlineLevel="1" x14ac:dyDescent="0.25">
      <c r="B261" s="291">
        <v>44027</v>
      </c>
      <c r="C261">
        <v>74.690002000000007</v>
      </c>
      <c r="D261" s="289">
        <f t="shared" si="14"/>
        <v>-2.1375551673360471E-3</v>
      </c>
      <c r="E261">
        <v>3226.5600589999999</v>
      </c>
      <c r="F261" s="289">
        <f t="shared" si="14"/>
        <v>9.0820507200453093E-3</v>
      </c>
    </row>
    <row r="262" spans="2:6" hidden="1" outlineLevel="1" x14ac:dyDescent="0.25">
      <c r="B262" s="291">
        <v>44028</v>
      </c>
      <c r="C262">
        <v>74.980002999999996</v>
      </c>
      <c r="D262" s="289">
        <f t="shared" si="14"/>
        <v>3.8827285076252771E-3</v>
      </c>
      <c r="E262">
        <v>3215.570068</v>
      </c>
      <c r="F262" s="289">
        <f t="shared" si="14"/>
        <v>-3.4061014823960623E-3</v>
      </c>
    </row>
    <row r="263" spans="2:6" hidden="1" outlineLevel="1" x14ac:dyDescent="0.25">
      <c r="B263" s="291">
        <v>44029</v>
      </c>
      <c r="C263">
        <v>75.199996999999996</v>
      </c>
      <c r="D263" s="289">
        <f t="shared" si="14"/>
        <v>2.93403562547212E-3</v>
      </c>
      <c r="E263">
        <v>3224.7299800000001</v>
      </c>
      <c r="F263" s="289">
        <f t="shared" si="14"/>
        <v>2.848612160921471E-3</v>
      </c>
    </row>
    <row r="264" spans="2:6" hidden="1" outlineLevel="1" x14ac:dyDescent="0.25">
      <c r="B264" s="291">
        <v>44032</v>
      </c>
      <c r="C264">
        <v>74.199996999999996</v>
      </c>
      <c r="D264" s="289">
        <f t="shared" si="14"/>
        <v>-1.3297872870925764E-2</v>
      </c>
      <c r="E264">
        <v>3251.8400879999999</v>
      </c>
      <c r="F264" s="289">
        <f t="shared" si="14"/>
        <v>8.4069389276431039E-3</v>
      </c>
    </row>
    <row r="265" spans="2:6" hidden="1" outlineLevel="1" x14ac:dyDescent="0.25">
      <c r="B265" s="291">
        <v>44033</v>
      </c>
      <c r="C265">
        <v>74.040001000000004</v>
      </c>
      <c r="D265" s="289">
        <f t="shared" si="14"/>
        <v>-2.1562804106312061E-3</v>
      </c>
      <c r="E265">
        <v>3257.3000489999999</v>
      </c>
      <c r="F265" s="289">
        <f t="shared" si="14"/>
        <v>1.679037361077107E-3</v>
      </c>
    </row>
    <row r="266" spans="2:6" hidden="1" outlineLevel="1" x14ac:dyDescent="0.25">
      <c r="B266" s="291">
        <v>44034</v>
      </c>
      <c r="C266">
        <v>74.139999000000003</v>
      </c>
      <c r="D266" s="289">
        <f t="shared" si="14"/>
        <v>1.3505942551244043E-3</v>
      </c>
      <c r="E266">
        <v>3276.0200199999999</v>
      </c>
      <c r="F266" s="289">
        <f t="shared" si="14"/>
        <v>5.7470821595777544E-3</v>
      </c>
    </row>
    <row r="267" spans="2:6" hidden="1" outlineLevel="1" x14ac:dyDescent="0.25">
      <c r="B267" s="291">
        <v>44035</v>
      </c>
      <c r="C267">
        <v>74.230002999999996</v>
      </c>
      <c r="D267" s="289">
        <f t="shared" si="14"/>
        <v>1.2139735799023832E-3</v>
      </c>
      <c r="E267">
        <v>3235.6599120000001</v>
      </c>
      <c r="F267" s="289">
        <f t="shared" si="14"/>
        <v>-1.231985999890195E-2</v>
      </c>
    </row>
    <row r="268" spans="2:6" hidden="1" outlineLevel="1" x14ac:dyDescent="0.25">
      <c r="B268" s="291">
        <v>44036</v>
      </c>
      <c r="C268">
        <v>74.319999999999993</v>
      </c>
      <c r="D268" s="289">
        <f t="shared" si="14"/>
        <v>1.2124073334605079E-3</v>
      </c>
      <c r="E268">
        <v>3215.6298830000001</v>
      </c>
      <c r="F268" s="289">
        <f t="shared" si="14"/>
        <v>-6.1903999631467421E-3</v>
      </c>
    </row>
    <row r="269" spans="2:6" hidden="1" outlineLevel="1" x14ac:dyDescent="0.25">
      <c r="B269" s="291">
        <v>44039</v>
      </c>
      <c r="C269">
        <v>74.650002000000001</v>
      </c>
      <c r="D269" s="289">
        <f t="shared" si="14"/>
        <v>4.4402852529603631E-3</v>
      </c>
      <c r="E269">
        <v>3239.4099120000001</v>
      </c>
      <c r="F269" s="289">
        <f t="shared" si="14"/>
        <v>7.3951387022856974E-3</v>
      </c>
    </row>
    <row r="270" spans="2:6" hidden="1" outlineLevel="1" x14ac:dyDescent="0.25">
      <c r="B270" s="291">
        <v>44040</v>
      </c>
      <c r="C270">
        <v>75.709998999999996</v>
      </c>
      <c r="D270" s="289">
        <f t="shared" ref="D270:F285" si="15">C270/C269-1</f>
        <v>1.4199557556609177E-2</v>
      </c>
      <c r="E270">
        <v>3218.4399410000001</v>
      </c>
      <c r="F270" s="289">
        <f t="shared" si="15"/>
        <v>-6.4733922441613245E-3</v>
      </c>
    </row>
    <row r="271" spans="2:6" hidden="1" outlineLevel="1" x14ac:dyDescent="0.25">
      <c r="B271" s="291">
        <v>44041</v>
      </c>
      <c r="C271">
        <v>76.199996999999996</v>
      </c>
      <c r="D271" s="289">
        <f t="shared" si="15"/>
        <v>6.4720381253735582E-3</v>
      </c>
      <c r="E271">
        <v>3258.4399410000001</v>
      </c>
      <c r="F271" s="289">
        <f t="shared" si="15"/>
        <v>1.2428381679718825E-2</v>
      </c>
    </row>
    <row r="272" spans="2:6" hidden="1" outlineLevel="1" x14ac:dyDescent="0.25">
      <c r="B272" s="291">
        <v>44042</v>
      </c>
      <c r="C272">
        <v>76.870002999999997</v>
      </c>
      <c r="D272" s="289">
        <f t="shared" si="15"/>
        <v>8.7927300049630563E-3</v>
      </c>
      <c r="E272">
        <v>3246.219971</v>
      </c>
      <c r="F272" s="289">
        <f t="shared" si="15"/>
        <v>-3.7502517220709963E-3</v>
      </c>
    </row>
    <row r="273" spans="2:6" hidden="1" outlineLevel="1" x14ac:dyDescent="0.25">
      <c r="B273" s="291">
        <v>44043</v>
      </c>
      <c r="C273">
        <v>77.199996999999996</v>
      </c>
      <c r="D273" s="289">
        <f t="shared" si="15"/>
        <v>4.2928839224840587E-3</v>
      </c>
      <c r="E273">
        <v>3271.1201169999999</v>
      </c>
      <c r="F273" s="289">
        <f t="shared" si="15"/>
        <v>7.6705048402279097E-3</v>
      </c>
    </row>
    <row r="274" spans="2:6" hidden="1" outlineLevel="1" x14ac:dyDescent="0.25">
      <c r="B274" s="291">
        <v>44046</v>
      </c>
      <c r="C274">
        <v>76.569999999999993</v>
      </c>
      <c r="D274" s="289">
        <f t="shared" si="15"/>
        <v>-8.1605832186755212E-3</v>
      </c>
      <c r="E274">
        <v>3294.610107</v>
      </c>
      <c r="F274" s="289">
        <f t="shared" si="15"/>
        <v>7.1810233680880131E-3</v>
      </c>
    </row>
    <row r="275" spans="2:6" hidden="1" outlineLevel="1" x14ac:dyDescent="0.25">
      <c r="B275" s="291">
        <v>44047</v>
      </c>
      <c r="C275">
        <v>76.769997000000004</v>
      </c>
      <c r="D275" s="289">
        <f t="shared" si="15"/>
        <v>2.6119498498107241E-3</v>
      </c>
      <c r="E275">
        <v>3306.51001</v>
      </c>
      <c r="F275" s="289">
        <f t="shared" si="15"/>
        <v>3.6119305816237901E-3</v>
      </c>
    </row>
    <row r="276" spans="2:6" hidden="1" outlineLevel="1" x14ac:dyDescent="0.25">
      <c r="B276" s="291">
        <v>44048</v>
      </c>
      <c r="C276">
        <v>76.180000000000007</v>
      </c>
      <c r="D276" s="289">
        <f t="shared" si="15"/>
        <v>-7.6852549570894935E-3</v>
      </c>
      <c r="E276">
        <v>3327.7700199999999</v>
      </c>
      <c r="F276" s="289">
        <f t="shared" si="15"/>
        <v>6.4297431236266522E-3</v>
      </c>
    </row>
    <row r="277" spans="2:6" hidden="1" outlineLevel="1" x14ac:dyDescent="0.25">
      <c r="B277" s="291">
        <v>44049</v>
      </c>
      <c r="C277">
        <v>75.860000999999997</v>
      </c>
      <c r="D277" s="289">
        <f t="shared" si="15"/>
        <v>-4.2005644526124097E-3</v>
      </c>
      <c r="E277">
        <v>3349.1599120000001</v>
      </c>
      <c r="F277" s="289">
        <f t="shared" si="15"/>
        <v>6.4276953850315177E-3</v>
      </c>
    </row>
    <row r="278" spans="2:6" hidden="1" outlineLevel="1" x14ac:dyDescent="0.25">
      <c r="B278" s="291">
        <v>44050</v>
      </c>
      <c r="C278">
        <v>76.239998</v>
      </c>
      <c r="D278" s="289">
        <f t="shared" si="15"/>
        <v>5.0091879118219218E-3</v>
      </c>
      <c r="E278">
        <v>3351.280029</v>
      </c>
      <c r="F278" s="289">
        <f t="shared" si="15"/>
        <v>6.3302949268062569E-4</v>
      </c>
    </row>
    <row r="279" spans="2:6" hidden="1" outlineLevel="1" x14ac:dyDescent="0.25">
      <c r="B279" s="291">
        <v>44053</v>
      </c>
      <c r="C279">
        <v>76.650002000000001</v>
      </c>
      <c r="D279" s="289">
        <f t="shared" si="15"/>
        <v>5.3778070665742028E-3</v>
      </c>
      <c r="E279">
        <v>3360.469971</v>
      </c>
      <c r="F279" s="289">
        <f t="shared" si="15"/>
        <v>2.7422184718899345E-3</v>
      </c>
    </row>
    <row r="280" spans="2:6" hidden="1" outlineLevel="1" x14ac:dyDescent="0.25">
      <c r="B280" s="291">
        <v>44054</v>
      </c>
      <c r="C280">
        <v>75.959998999999996</v>
      </c>
      <c r="D280" s="289">
        <f t="shared" si="15"/>
        <v>-9.0019958512199683E-3</v>
      </c>
      <c r="E280">
        <v>3333.6899410000001</v>
      </c>
      <c r="F280" s="289">
        <f t="shared" si="15"/>
        <v>-7.9691323627661959E-3</v>
      </c>
    </row>
    <row r="281" spans="2:6" hidden="1" outlineLevel="1" x14ac:dyDescent="0.25">
      <c r="B281" s="291">
        <v>44055</v>
      </c>
      <c r="C281">
        <v>77.239998</v>
      </c>
      <c r="D281" s="289">
        <f t="shared" si="15"/>
        <v>1.6850961253962238E-2</v>
      </c>
      <c r="E281">
        <v>3380.3500979999999</v>
      </c>
      <c r="F281" s="289">
        <f t="shared" si="15"/>
        <v>1.3996549716919215E-2</v>
      </c>
    </row>
    <row r="282" spans="2:6" hidden="1" outlineLevel="1" x14ac:dyDescent="0.25">
      <c r="B282" s="291">
        <v>44056</v>
      </c>
      <c r="C282">
        <v>76.980002999999996</v>
      </c>
      <c r="D282" s="289">
        <f t="shared" si="15"/>
        <v>-3.3660668919230918E-3</v>
      </c>
      <c r="E282">
        <v>3373.429932</v>
      </c>
      <c r="F282" s="289">
        <f t="shared" si="15"/>
        <v>-2.0471743456673686E-3</v>
      </c>
    </row>
    <row r="283" spans="2:6" hidden="1" outlineLevel="1" x14ac:dyDescent="0.25">
      <c r="B283" s="291">
        <v>44057</v>
      </c>
      <c r="C283">
        <v>77.050003000000004</v>
      </c>
      <c r="D283" s="289">
        <f t="shared" si="15"/>
        <v>9.093270625100125E-4</v>
      </c>
      <c r="E283">
        <v>3372.8500979999999</v>
      </c>
      <c r="F283" s="289">
        <f t="shared" si="15"/>
        <v>-1.7188262738165871E-4</v>
      </c>
    </row>
    <row r="284" spans="2:6" hidden="1" outlineLevel="1" x14ac:dyDescent="0.25">
      <c r="B284" s="291">
        <v>44060</v>
      </c>
      <c r="C284">
        <v>77.209998999999996</v>
      </c>
      <c r="D284" s="289">
        <f t="shared" si="15"/>
        <v>2.0765216582794288E-3</v>
      </c>
      <c r="E284">
        <v>3381.98999</v>
      </c>
      <c r="F284" s="289">
        <f t="shared" si="15"/>
        <v>2.7098423393971949E-3</v>
      </c>
    </row>
    <row r="285" spans="2:6" hidden="1" outlineLevel="1" x14ac:dyDescent="0.25">
      <c r="B285" s="291">
        <v>44061</v>
      </c>
      <c r="C285">
        <v>77.650002000000001</v>
      </c>
      <c r="D285" s="289">
        <f t="shared" si="15"/>
        <v>5.6987826149306198E-3</v>
      </c>
      <c r="E285">
        <v>3389.780029</v>
      </c>
      <c r="F285" s="289">
        <f t="shared" si="15"/>
        <v>2.3033891356964986E-3</v>
      </c>
    </row>
    <row r="286" spans="2:6" hidden="1" outlineLevel="1" x14ac:dyDescent="0.25">
      <c r="B286" s="291">
        <v>44062</v>
      </c>
      <c r="C286">
        <v>77.949996999999996</v>
      </c>
      <c r="D286" s="289">
        <f t="shared" ref="D286:F301" si="16">C286/C285-1</f>
        <v>3.8634255283083174E-3</v>
      </c>
      <c r="E286">
        <v>3374.8500979999999</v>
      </c>
      <c r="F286" s="289">
        <f t="shared" si="16"/>
        <v>-4.4043952328094438E-3</v>
      </c>
    </row>
    <row r="287" spans="2:6" hidden="1" outlineLevel="1" x14ac:dyDescent="0.25">
      <c r="B287" s="291">
        <v>44063</v>
      </c>
      <c r="C287">
        <v>78.25</v>
      </c>
      <c r="D287" s="289">
        <f t="shared" si="16"/>
        <v>3.8486595451696637E-3</v>
      </c>
      <c r="E287">
        <v>3385.51001</v>
      </c>
      <c r="F287" s="289">
        <f t="shared" si="16"/>
        <v>3.1586327364043765E-3</v>
      </c>
    </row>
    <row r="288" spans="2:6" hidden="1" outlineLevel="1" x14ac:dyDescent="0.25">
      <c r="B288" s="291">
        <v>44064</v>
      </c>
      <c r="C288">
        <v>78.690002000000007</v>
      </c>
      <c r="D288" s="289">
        <f t="shared" si="16"/>
        <v>5.6230287539937862E-3</v>
      </c>
      <c r="E288">
        <v>3397.1599120000001</v>
      </c>
      <c r="F288" s="289">
        <f t="shared" si="16"/>
        <v>3.4411069427024987E-3</v>
      </c>
    </row>
    <row r="289" spans="2:6" hidden="1" outlineLevel="1" x14ac:dyDescent="0.25">
      <c r="B289" s="291">
        <v>44067</v>
      </c>
      <c r="C289">
        <v>79.129997000000003</v>
      </c>
      <c r="D289" s="289">
        <f t="shared" si="16"/>
        <v>5.5914981422924281E-3</v>
      </c>
      <c r="E289">
        <v>3431.280029</v>
      </c>
      <c r="F289" s="289">
        <f t="shared" si="16"/>
        <v>1.0043718248138767E-2</v>
      </c>
    </row>
    <row r="290" spans="2:6" hidden="1" outlineLevel="1" x14ac:dyDescent="0.25">
      <c r="B290" s="291">
        <v>44068</v>
      </c>
      <c r="C290">
        <v>78.589995999999999</v>
      </c>
      <c r="D290" s="289">
        <f t="shared" si="16"/>
        <v>-6.824226216007645E-3</v>
      </c>
      <c r="E290">
        <v>3443.6201169999999</v>
      </c>
      <c r="F290" s="289">
        <f t="shared" si="16"/>
        <v>3.5963511854777419E-3</v>
      </c>
    </row>
    <row r="291" spans="2:6" hidden="1" outlineLevel="1" x14ac:dyDescent="0.25">
      <c r="B291" s="291">
        <v>44069</v>
      </c>
      <c r="C291">
        <v>78.650002000000001</v>
      </c>
      <c r="D291" s="289">
        <f t="shared" si="16"/>
        <v>7.6353229487380325E-4</v>
      </c>
      <c r="E291">
        <v>3478.7299800000001</v>
      </c>
      <c r="F291" s="289">
        <f t="shared" si="16"/>
        <v>1.0195626058366436E-2</v>
      </c>
    </row>
    <row r="292" spans="2:6" hidden="1" outlineLevel="1" x14ac:dyDescent="0.25">
      <c r="B292" s="291">
        <v>44070</v>
      </c>
      <c r="C292">
        <v>79.059997999999993</v>
      </c>
      <c r="D292" s="289">
        <f t="shared" si="16"/>
        <v>5.2129178585398339E-3</v>
      </c>
      <c r="E292">
        <v>3484.5500489999999</v>
      </c>
      <c r="F292" s="289">
        <f t="shared" si="16"/>
        <v>1.6730441952841346E-3</v>
      </c>
    </row>
    <row r="293" spans="2:6" hidden="1" outlineLevel="1" x14ac:dyDescent="0.25">
      <c r="B293" s="291">
        <v>44071</v>
      </c>
      <c r="C293">
        <v>79.370002999999997</v>
      </c>
      <c r="D293" s="289">
        <f t="shared" si="16"/>
        <v>3.9211359453867889E-3</v>
      </c>
      <c r="E293">
        <v>3508.01001</v>
      </c>
      <c r="F293" s="289">
        <f t="shared" si="16"/>
        <v>6.7325653728902424E-3</v>
      </c>
    </row>
    <row r="294" spans="2:6" hidden="1" outlineLevel="1" x14ac:dyDescent="0.25">
      <c r="B294" s="291">
        <v>44074</v>
      </c>
      <c r="C294">
        <v>79.260002</v>
      </c>
      <c r="D294" s="289">
        <f t="shared" si="16"/>
        <v>-1.3859266201614595E-3</v>
      </c>
      <c r="E294">
        <v>3500.3100589999999</v>
      </c>
      <c r="F294" s="289">
        <f t="shared" si="16"/>
        <v>-2.1949626648870568E-3</v>
      </c>
    </row>
    <row r="295" spans="2:6" hidden="1" outlineLevel="1" x14ac:dyDescent="0.25">
      <c r="B295" s="291">
        <v>44075</v>
      </c>
      <c r="C295">
        <v>78.089995999999999</v>
      </c>
      <c r="D295" s="289">
        <f t="shared" si="16"/>
        <v>-1.4761619612373988E-2</v>
      </c>
      <c r="E295">
        <v>3526.6499020000001</v>
      </c>
      <c r="F295" s="289">
        <f t="shared" si="16"/>
        <v>7.5250028014732795E-3</v>
      </c>
    </row>
    <row r="296" spans="2:6" hidden="1" outlineLevel="1" x14ac:dyDescent="0.25">
      <c r="B296" s="291">
        <v>44076</v>
      </c>
      <c r="C296">
        <v>79.470000999999996</v>
      </c>
      <c r="D296" s="289">
        <f t="shared" si="16"/>
        <v>1.7671981952720239E-2</v>
      </c>
      <c r="E296">
        <v>3580.8400879999999</v>
      </c>
      <c r="F296" s="289">
        <f t="shared" si="16"/>
        <v>1.5365910284791173E-2</v>
      </c>
    </row>
    <row r="297" spans="2:6" hidden="1" outlineLevel="1" x14ac:dyDescent="0.25">
      <c r="B297" s="291">
        <v>44077</v>
      </c>
      <c r="C297">
        <v>77.669998000000007</v>
      </c>
      <c r="D297" s="289">
        <f t="shared" si="16"/>
        <v>-2.2650094090221451E-2</v>
      </c>
      <c r="E297">
        <v>3455.0600589999999</v>
      </c>
      <c r="F297" s="289">
        <f t="shared" si="16"/>
        <v>-3.5125843631361842E-2</v>
      </c>
    </row>
    <row r="298" spans="2:6" hidden="1" outlineLevel="1" x14ac:dyDescent="0.25">
      <c r="B298" s="291">
        <v>44078</v>
      </c>
      <c r="C298">
        <v>77.209998999999996</v>
      </c>
      <c r="D298" s="289">
        <f t="shared" si="16"/>
        <v>-5.9224798744041962E-3</v>
      </c>
      <c r="E298">
        <v>3426.959961</v>
      </c>
      <c r="F298" s="289">
        <f t="shared" si="16"/>
        <v>-8.1330273628102967E-3</v>
      </c>
    </row>
    <row r="299" spans="2:6" hidden="1" outlineLevel="1" x14ac:dyDescent="0.25">
      <c r="B299" s="291">
        <v>44082</v>
      </c>
      <c r="C299">
        <v>75.639999000000003</v>
      </c>
      <c r="D299" s="289">
        <f t="shared" si="16"/>
        <v>-2.0334153870407268E-2</v>
      </c>
      <c r="E299">
        <v>3331.8400879999999</v>
      </c>
      <c r="F299" s="289">
        <f t="shared" si="16"/>
        <v>-2.7756342088176567E-2</v>
      </c>
    </row>
    <row r="300" spans="2:6" hidden="1" outlineLevel="1" x14ac:dyDescent="0.25">
      <c r="B300" s="291">
        <v>44083</v>
      </c>
      <c r="C300">
        <v>77.569999999999993</v>
      </c>
      <c r="D300" s="289">
        <f t="shared" si="16"/>
        <v>2.5515613769375944E-2</v>
      </c>
      <c r="E300">
        <v>3398.959961</v>
      </c>
      <c r="F300" s="289">
        <f t="shared" si="16"/>
        <v>2.0144986322044645E-2</v>
      </c>
    </row>
    <row r="301" spans="2:6" hidden="1" outlineLevel="1" x14ac:dyDescent="0.25">
      <c r="B301" s="291">
        <v>44084</v>
      </c>
      <c r="C301">
        <v>76.410004000000001</v>
      </c>
      <c r="D301" s="289">
        <f t="shared" si="16"/>
        <v>-1.4954183318293013E-2</v>
      </c>
      <c r="E301">
        <v>3339.1899410000001</v>
      </c>
      <c r="F301" s="289">
        <f t="shared" si="16"/>
        <v>-1.7584796727765806E-2</v>
      </c>
    </row>
    <row r="302" spans="2:6" hidden="1" outlineLevel="1" x14ac:dyDescent="0.25">
      <c r="B302" s="291">
        <v>44085</v>
      </c>
      <c r="C302">
        <v>76.75</v>
      </c>
      <c r="D302" s="289">
        <f t="shared" ref="D302:F317" si="17">C302/C301-1</f>
        <v>4.4496267792368815E-3</v>
      </c>
      <c r="E302">
        <v>3340.969971</v>
      </c>
      <c r="F302" s="289">
        <f t="shared" si="17"/>
        <v>5.3307240122646427E-4</v>
      </c>
    </row>
    <row r="303" spans="2:6" hidden="1" outlineLevel="1" x14ac:dyDescent="0.25">
      <c r="B303" s="291">
        <v>44088</v>
      </c>
      <c r="C303">
        <v>77.150002000000001</v>
      </c>
      <c r="D303" s="289">
        <f t="shared" si="17"/>
        <v>5.2117524429966533E-3</v>
      </c>
      <c r="E303">
        <v>3383.540039</v>
      </c>
      <c r="F303" s="289">
        <f t="shared" si="17"/>
        <v>1.274182898065912E-2</v>
      </c>
    </row>
    <row r="304" spans="2:6" hidden="1" outlineLevel="1" x14ac:dyDescent="0.25">
      <c r="B304" s="291">
        <v>44089</v>
      </c>
      <c r="C304">
        <v>76.940002000000007</v>
      </c>
      <c r="D304" s="289">
        <f t="shared" si="17"/>
        <v>-2.7219701173823996E-3</v>
      </c>
      <c r="E304">
        <v>3401.1999510000001</v>
      </c>
      <c r="F304" s="289">
        <f t="shared" si="17"/>
        <v>5.2193595454597119E-3</v>
      </c>
    </row>
    <row r="305" spans="2:6" hidden="1" outlineLevel="1" x14ac:dyDescent="0.25">
      <c r="B305" s="291">
        <v>44090</v>
      </c>
      <c r="C305">
        <v>76.910004000000001</v>
      </c>
      <c r="D305" s="289">
        <f t="shared" si="17"/>
        <v>-3.8988821445584687E-4</v>
      </c>
      <c r="E305">
        <v>3385.48999</v>
      </c>
      <c r="F305" s="289">
        <f t="shared" si="17"/>
        <v>-4.6189466148207625E-3</v>
      </c>
    </row>
    <row r="306" spans="2:6" hidden="1" outlineLevel="1" x14ac:dyDescent="0.25">
      <c r="B306" s="291">
        <v>44091</v>
      </c>
      <c r="C306">
        <v>76.709998999999996</v>
      </c>
      <c r="D306" s="289">
        <f t="shared" si="17"/>
        <v>-2.6005069509553724E-3</v>
      </c>
      <c r="E306">
        <v>3357.01001</v>
      </c>
      <c r="F306" s="289">
        <f t="shared" si="17"/>
        <v>-8.4123657385264394E-3</v>
      </c>
    </row>
    <row r="307" spans="2:6" hidden="1" outlineLevel="1" x14ac:dyDescent="0.25">
      <c r="B307" s="291">
        <v>44092</v>
      </c>
      <c r="C307">
        <v>75.830001999999993</v>
      </c>
      <c r="D307" s="289">
        <f t="shared" si="17"/>
        <v>-1.1471737863013143E-2</v>
      </c>
      <c r="E307">
        <v>3319.469971</v>
      </c>
      <c r="F307" s="289">
        <f t="shared" si="17"/>
        <v>-1.1182581788012014E-2</v>
      </c>
    </row>
    <row r="308" spans="2:6" hidden="1" outlineLevel="1" x14ac:dyDescent="0.25">
      <c r="B308" s="291">
        <v>44095</v>
      </c>
      <c r="C308">
        <v>75.190002000000007</v>
      </c>
      <c r="D308" s="289">
        <f t="shared" si="17"/>
        <v>-8.4399312029556084E-3</v>
      </c>
      <c r="E308">
        <v>3281.0600589999999</v>
      </c>
      <c r="F308" s="289">
        <f t="shared" si="17"/>
        <v>-1.1571097896821425E-2</v>
      </c>
    </row>
    <row r="309" spans="2:6" hidden="1" outlineLevel="1" x14ac:dyDescent="0.25">
      <c r="B309" s="291">
        <v>44096</v>
      </c>
      <c r="C309">
        <v>76.069999999999993</v>
      </c>
      <c r="D309" s="289">
        <f t="shared" si="17"/>
        <v>1.1703657089941144E-2</v>
      </c>
      <c r="E309">
        <v>3315.570068</v>
      </c>
      <c r="F309" s="289">
        <f t="shared" si="17"/>
        <v>1.0517944926164535E-2</v>
      </c>
    </row>
    <row r="310" spans="2:6" hidden="1" outlineLevel="1" x14ac:dyDescent="0.25">
      <c r="B310" s="291">
        <v>44097</v>
      </c>
      <c r="C310">
        <v>75.139999000000003</v>
      </c>
      <c r="D310" s="289">
        <f t="shared" si="17"/>
        <v>-1.2225594846851484E-2</v>
      </c>
      <c r="E310">
        <v>3236.919922</v>
      </c>
      <c r="F310" s="289">
        <f t="shared" si="17"/>
        <v>-2.372145494950828E-2</v>
      </c>
    </row>
    <row r="311" spans="2:6" hidden="1" outlineLevel="1" x14ac:dyDescent="0.25">
      <c r="B311" s="291">
        <v>44098</v>
      </c>
      <c r="C311">
        <v>75.760002</v>
      </c>
      <c r="D311" s="289">
        <f t="shared" si="17"/>
        <v>8.2513043419123466E-3</v>
      </c>
      <c r="E311">
        <v>3246.5900879999999</v>
      </c>
      <c r="F311" s="289">
        <f t="shared" si="17"/>
        <v>2.9874591380143478E-3</v>
      </c>
    </row>
    <row r="312" spans="2:6" hidden="1" outlineLevel="1" x14ac:dyDescent="0.25">
      <c r="B312" s="291">
        <v>44099</v>
      </c>
      <c r="C312">
        <v>75.949996999999996</v>
      </c>
      <c r="D312" s="289">
        <f t="shared" si="17"/>
        <v>2.5078536824747477E-3</v>
      </c>
      <c r="E312">
        <v>3298.459961</v>
      </c>
      <c r="F312" s="289">
        <f t="shared" si="17"/>
        <v>1.5976723760637634E-2</v>
      </c>
    </row>
    <row r="313" spans="2:6" hidden="1" outlineLevel="1" x14ac:dyDescent="0.25">
      <c r="B313" s="291">
        <v>44102</v>
      </c>
      <c r="C313">
        <v>76.610000999999997</v>
      </c>
      <c r="D313" s="289">
        <f t="shared" si="17"/>
        <v>8.6899805934159691E-3</v>
      </c>
      <c r="E313">
        <v>3351.6000979999999</v>
      </c>
      <c r="F313" s="289">
        <f t="shared" si="17"/>
        <v>1.611059028404549E-2</v>
      </c>
    </row>
    <row r="314" spans="2:6" hidden="1" outlineLevel="1" x14ac:dyDescent="0.25">
      <c r="B314" s="291">
        <v>44103</v>
      </c>
      <c r="C314">
        <v>76.220000999999996</v>
      </c>
      <c r="D314" s="289">
        <f t="shared" si="17"/>
        <v>-5.0907191608051683E-3</v>
      </c>
      <c r="E314">
        <v>3335.469971</v>
      </c>
      <c r="F314" s="289">
        <f t="shared" si="17"/>
        <v>-4.8126645567366788E-3</v>
      </c>
    </row>
    <row r="315" spans="2:6" hidden="1" outlineLevel="1" x14ac:dyDescent="0.25">
      <c r="B315" s="291">
        <v>44104</v>
      </c>
      <c r="C315">
        <v>77.150002000000001</v>
      </c>
      <c r="D315" s="289">
        <f t="shared" si="17"/>
        <v>1.2201534870092789E-2</v>
      </c>
      <c r="E315">
        <v>3363</v>
      </c>
      <c r="F315" s="289">
        <f t="shared" si="17"/>
        <v>8.2537181384805258E-3</v>
      </c>
    </row>
    <row r="316" spans="2:6" hidden="1" outlineLevel="1" x14ac:dyDescent="0.25">
      <c r="B316" s="291">
        <v>44105</v>
      </c>
      <c r="C316">
        <v>77.059997999999993</v>
      </c>
      <c r="D316" s="289">
        <f t="shared" si="17"/>
        <v>-1.1666104687853007E-3</v>
      </c>
      <c r="E316">
        <v>3380.8000489999999</v>
      </c>
      <c r="F316" s="289">
        <f t="shared" si="17"/>
        <v>5.2929078203984847E-3</v>
      </c>
    </row>
    <row r="317" spans="2:6" hidden="1" outlineLevel="1" x14ac:dyDescent="0.25">
      <c r="B317" s="291">
        <v>44106</v>
      </c>
      <c r="C317">
        <v>77.400002000000001</v>
      </c>
      <c r="D317" s="289">
        <f t="shared" si="17"/>
        <v>4.4121984015623728E-3</v>
      </c>
      <c r="E317">
        <v>3348.419922</v>
      </c>
      <c r="F317" s="289">
        <f t="shared" si="17"/>
        <v>-9.5776521919944679E-3</v>
      </c>
    </row>
    <row r="318" spans="2:6" hidden="1" outlineLevel="1" x14ac:dyDescent="0.25">
      <c r="B318" s="291">
        <v>44109</v>
      </c>
      <c r="C318">
        <v>78.419998000000007</v>
      </c>
      <c r="D318" s="289">
        <f t="shared" ref="D318:F333" si="18">C318/C317-1</f>
        <v>1.3178242553533837E-2</v>
      </c>
      <c r="E318">
        <v>3408.6000979999999</v>
      </c>
      <c r="F318" s="289">
        <f t="shared" si="18"/>
        <v>1.7972708740800369E-2</v>
      </c>
    </row>
    <row r="319" spans="2:6" hidden="1" outlineLevel="1" x14ac:dyDescent="0.25">
      <c r="B319" s="291">
        <v>44110</v>
      </c>
      <c r="C319">
        <v>77.540001000000004</v>
      </c>
      <c r="D319" s="289">
        <f t="shared" si="18"/>
        <v>-1.1221589166579671E-2</v>
      </c>
      <c r="E319">
        <v>3360.969971</v>
      </c>
      <c r="F319" s="289">
        <f t="shared" si="18"/>
        <v>-1.3973515704569395E-2</v>
      </c>
    </row>
    <row r="320" spans="2:6" hidden="1" outlineLevel="1" x14ac:dyDescent="0.25">
      <c r="B320" s="291">
        <v>44111</v>
      </c>
      <c r="C320">
        <v>78.129997000000003</v>
      </c>
      <c r="D320" s="289">
        <f t="shared" si="18"/>
        <v>7.6089243279735541E-3</v>
      </c>
      <c r="E320">
        <v>3419.4399410000001</v>
      </c>
      <c r="F320" s="289">
        <f t="shared" si="18"/>
        <v>1.7396754658478342E-2</v>
      </c>
    </row>
    <row r="321" spans="2:6" hidden="1" outlineLevel="1" x14ac:dyDescent="0.25">
      <c r="B321" s="291">
        <v>44112</v>
      </c>
      <c r="C321">
        <v>78.739998</v>
      </c>
      <c r="D321" s="289">
        <f t="shared" si="18"/>
        <v>7.8075134189496964E-3</v>
      </c>
      <c r="E321">
        <v>3446.830078</v>
      </c>
      <c r="F321" s="289">
        <f t="shared" si="18"/>
        <v>8.0101237256968716E-3</v>
      </c>
    </row>
    <row r="322" spans="2:6" hidden="1" outlineLevel="1" x14ac:dyDescent="0.25">
      <c r="B322" s="291">
        <v>44113</v>
      </c>
      <c r="C322">
        <v>79.769997000000004</v>
      </c>
      <c r="D322" s="289">
        <f t="shared" si="18"/>
        <v>1.308101379428539E-2</v>
      </c>
      <c r="E322">
        <v>3477.139893</v>
      </c>
      <c r="F322" s="289">
        <f t="shared" si="18"/>
        <v>8.7935332795945342E-3</v>
      </c>
    </row>
    <row r="323" spans="2:6" hidden="1" outlineLevel="1" x14ac:dyDescent="0.25">
      <c r="B323" s="291">
        <v>44116</v>
      </c>
      <c r="C323">
        <v>80.629997000000003</v>
      </c>
      <c r="D323" s="289">
        <f t="shared" si="18"/>
        <v>1.0780995767117885E-2</v>
      </c>
      <c r="E323">
        <v>3534.219971</v>
      </c>
      <c r="F323" s="289">
        <f t="shared" si="18"/>
        <v>1.6415812925706819E-2</v>
      </c>
    </row>
    <row r="324" spans="2:6" hidden="1" outlineLevel="1" x14ac:dyDescent="0.25">
      <c r="B324" s="291">
        <v>44117</v>
      </c>
      <c r="C324">
        <v>80.260002</v>
      </c>
      <c r="D324" s="289">
        <f t="shared" si="18"/>
        <v>-4.5888008652661405E-3</v>
      </c>
      <c r="E324">
        <v>3511.929932</v>
      </c>
      <c r="F324" s="289">
        <f t="shared" si="18"/>
        <v>-6.3069189758704347E-3</v>
      </c>
    </row>
    <row r="325" spans="2:6" hidden="1" outlineLevel="1" x14ac:dyDescent="0.25">
      <c r="B325" s="291">
        <v>44118</v>
      </c>
      <c r="C325">
        <v>79.860000999999997</v>
      </c>
      <c r="D325" s="289">
        <f t="shared" si="18"/>
        <v>-4.9838149767302831E-3</v>
      </c>
      <c r="E325">
        <v>3488.669922</v>
      </c>
      <c r="F325" s="289">
        <f t="shared" si="18"/>
        <v>-6.6231418195618064E-3</v>
      </c>
    </row>
    <row r="326" spans="2:6" hidden="1" outlineLevel="1" x14ac:dyDescent="0.25">
      <c r="B326" s="291">
        <v>44119</v>
      </c>
      <c r="C326">
        <v>79.709998999999996</v>
      </c>
      <c r="D326" s="289">
        <f t="shared" si="18"/>
        <v>-1.8783120225606131E-3</v>
      </c>
      <c r="E326">
        <v>3483.3400879999999</v>
      </c>
      <c r="F326" s="289">
        <f t="shared" si="18"/>
        <v>-1.5277553105237374E-3</v>
      </c>
    </row>
    <row r="327" spans="2:6" hidden="1" outlineLevel="1" x14ac:dyDescent="0.25">
      <c r="B327" s="291">
        <v>44120</v>
      </c>
      <c r="C327">
        <v>80.309997999999993</v>
      </c>
      <c r="D327" s="289">
        <f t="shared" si="18"/>
        <v>7.5272739622038731E-3</v>
      </c>
      <c r="E327">
        <v>3483.8100589999999</v>
      </c>
      <c r="F327" s="289">
        <f t="shared" si="18"/>
        <v>1.3491964267831058E-4</v>
      </c>
    </row>
    <row r="328" spans="2:6" hidden="1" outlineLevel="1" x14ac:dyDescent="0.25">
      <c r="B328" s="291">
        <v>44123</v>
      </c>
      <c r="C328">
        <v>79.209998999999996</v>
      </c>
      <c r="D328" s="289">
        <f t="shared" si="18"/>
        <v>-1.3696912307232245E-2</v>
      </c>
      <c r="E328">
        <v>3426.919922</v>
      </c>
      <c r="F328" s="289">
        <f t="shared" si="18"/>
        <v>-1.6329861857144357E-2</v>
      </c>
    </row>
    <row r="329" spans="2:6" hidden="1" outlineLevel="1" x14ac:dyDescent="0.25">
      <c r="B329" s="291">
        <v>44124</v>
      </c>
      <c r="C329">
        <v>79.830001999999993</v>
      </c>
      <c r="D329" s="289">
        <f t="shared" si="18"/>
        <v>7.827332506341822E-3</v>
      </c>
      <c r="E329">
        <v>3443.1201169999999</v>
      </c>
      <c r="F329" s="289">
        <f t="shared" si="18"/>
        <v>4.7273339817479609E-3</v>
      </c>
    </row>
    <row r="330" spans="2:6" hidden="1" outlineLevel="1" x14ac:dyDescent="0.25">
      <c r="B330" s="291">
        <v>44125</v>
      </c>
      <c r="C330">
        <v>80.199996999999996</v>
      </c>
      <c r="D330" s="289">
        <f t="shared" si="18"/>
        <v>4.6347863050286708E-3</v>
      </c>
      <c r="E330">
        <v>3435.5600589999999</v>
      </c>
      <c r="F330" s="289">
        <f t="shared" si="18"/>
        <v>-2.195699755774716E-3</v>
      </c>
    </row>
    <row r="331" spans="2:6" hidden="1" outlineLevel="1" x14ac:dyDescent="0.25">
      <c r="B331" s="291">
        <v>44126</v>
      </c>
      <c r="C331">
        <v>79.290001000000004</v>
      </c>
      <c r="D331" s="289">
        <f t="shared" si="18"/>
        <v>-1.1346583965582857E-2</v>
      </c>
      <c r="E331">
        <v>3453.48999</v>
      </c>
      <c r="F331" s="289">
        <f t="shared" si="18"/>
        <v>5.2189252093060023E-3</v>
      </c>
    </row>
    <row r="332" spans="2:6" hidden="1" outlineLevel="1" x14ac:dyDescent="0.25">
      <c r="B332" s="291">
        <v>44127</v>
      </c>
      <c r="C332">
        <v>79.339995999999999</v>
      </c>
      <c r="D332" s="289">
        <f t="shared" si="18"/>
        <v>6.3053347672425986E-4</v>
      </c>
      <c r="E332">
        <v>3465.389893</v>
      </c>
      <c r="F332" s="289">
        <f t="shared" si="18"/>
        <v>3.4457615439620337E-3</v>
      </c>
    </row>
    <row r="333" spans="2:6" hidden="1" outlineLevel="1" x14ac:dyDescent="0.25">
      <c r="B333" s="291">
        <v>44130</v>
      </c>
      <c r="C333">
        <v>78.690002000000007</v>
      </c>
      <c r="D333" s="289">
        <f t="shared" si="18"/>
        <v>-8.1925136472150717E-3</v>
      </c>
      <c r="E333">
        <v>3400.969971</v>
      </c>
      <c r="F333" s="289">
        <f t="shared" si="18"/>
        <v>-1.8589516328343492E-2</v>
      </c>
    </row>
    <row r="334" spans="2:6" hidden="1" outlineLevel="1" x14ac:dyDescent="0.25">
      <c r="B334" s="291">
        <v>44131</v>
      </c>
      <c r="C334">
        <v>78.849997999999999</v>
      </c>
      <c r="D334" s="289">
        <f t="shared" ref="D334:F349" si="19">C334/C333-1</f>
        <v>2.0332443249904131E-3</v>
      </c>
      <c r="E334">
        <v>3390.679932</v>
      </c>
      <c r="F334" s="289">
        <f t="shared" si="19"/>
        <v>-3.0256188933577288E-3</v>
      </c>
    </row>
    <row r="335" spans="2:6" hidden="1" outlineLevel="1" x14ac:dyDescent="0.25">
      <c r="B335" s="291">
        <v>44132</v>
      </c>
      <c r="C335">
        <v>76.860000999999997</v>
      </c>
      <c r="D335" s="289">
        <f t="shared" si="19"/>
        <v>-2.5237755871598155E-2</v>
      </c>
      <c r="E335">
        <v>3271.030029</v>
      </c>
      <c r="F335" s="289">
        <f t="shared" si="19"/>
        <v>-3.5287878950409857E-2</v>
      </c>
    </row>
    <row r="336" spans="2:6" hidden="1" outlineLevel="1" x14ac:dyDescent="0.25">
      <c r="B336" s="291">
        <v>44133</v>
      </c>
      <c r="C336">
        <v>76.669998000000007</v>
      </c>
      <c r="D336" s="289">
        <f t="shared" si="19"/>
        <v>-2.472066062033873E-3</v>
      </c>
      <c r="E336">
        <v>3310.110107</v>
      </c>
      <c r="F336" s="289">
        <f t="shared" si="19"/>
        <v>1.1947330857108529E-2</v>
      </c>
    </row>
    <row r="337" spans="2:6" hidden="1" outlineLevel="1" x14ac:dyDescent="0.25">
      <c r="B337" s="291">
        <v>44134</v>
      </c>
      <c r="C337">
        <v>78.889999000000003</v>
      </c>
      <c r="D337" s="289">
        <f t="shared" si="19"/>
        <v>2.8955276612893543E-2</v>
      </c>
      <c r="E337">
        <v>3269.959961</v>
      </c>
      <c r="F337" s="289">
        <f t="shared" si="19"/>
        <v>-1.212954998538962E-2</v>
      </c>
    </row>
    <row r="338" spans="2:6" hidden="1" outlineLevel="1" x14ac:dyDescent="0.25">
      <c r="B338" s="291">
        <v>44137</v>
      </c>
      <c r="C338">
        <v>80.160004000000001</v>
      </c>
      <c r="D338" s="289">
        <f t="shared" si="19"/>
        <v>1.6098428395213915E-2</v>
      </c>
      <c r="E338">
        <v>3310.23999</v>
      </c>
      <c r="F338" s="289">
        <f t="shared" si="19"/>
        <v>1.2318202510247733E-2</v>
      </c>
    </row>
    <row r="339" spans="2:6" hidden="1" outlineLevel="1" x14ac:dyDescent="0.25">
      <c r="B339" s="291">
        <v>44138</v>
      </c>
      <c r="C339">
        <v>83.110000999999997</v>
      </c>
      <c r="D339" s="289">
        <f t="shared" si="19"/>
        <v>3.6801357944044044E-2</v>
      </c>
      <c r="E339">
        <v>3369.1599120000001</v>
      </c>
      <c r="F339" s="289">
        <f t="shared" si="19"/>
        <v>1.7799290135456225E-2</v>
      </c>
    </row>
    <row r="340" spans="2:6" hidden="1" outlineLevel="1" x14ac:dyDescent="0.25">
      <c r="B340" s="291">
        <v>44139</v>
      </c>
      <c r="C340">
        <v>83.860000999999997</v>
      </c>
      <c r="D340" s="289">
        <f t="shared" si="19"/>
        <v>9.0241847067238368E-3</v>
      </c>
      <c r="E340">
        <v>3443.4399410000001</v>
      </c>
      <c r="F340" s="289">
        <f t="shared" si="19"/>
        <v>2.2047047614283777E-2</v>
      </c>
    </row>
    <row r="341" spans="2:6" hidden="1" outlineLevel="1" x14ac:dyDescent="0.25">
      <c r="B341" s="291">
        <v>44140</v>
      </c>
      <c r="C341">
        <v>83.010002</v>
      </c>
      <c r="D341" s="289">
        <f t="shared" si="19"/>
        <v>-1.0135928808300387E-2</v>
      </c>
      <c r="E341">
        <v>3510.4499510000001</v>
      </c>
      <c r="F341" s="289">
        <f t="shared" si="19"/>
        <v>1.9460194209323101E-2</v>
      </c>
    </row>
    <row r="342" spans="2:6" hidden="1" outlineLevel="1" x14ac:dyDescent="0.25">
      <c r="B342" s="291">
        <v>44141</v>
      </c>
      <c r="C342">
        <v>83.029999000000004</v>
      </c>
      <c r="D342" s="289">
        <f t="shared" si="19"/>
        <v>2.4089868110110935E-4</v>
      </c>
      <c r="E342">
        <v>3509.4399410000001</v>
      </c>
      <c r="F342" s="289">
        <f t="shared" si="19"/>
        <v>-2.877152541975736E-4</v>
      </c>
    </row>
    <row r="343" spans="2:6" hidden="1" outlineLevel="1" x14ac:dyDescent="0.25">
      <c r="B343" s="291">
        <v>44144</v>
      </c>
      <c r="C343">
        <v>81.779999000000004</v>
      </c>
      <c r="D343" s="289">
        <f t="shared" si="19"/>
        <v>-1.5054799651388673E-2</v>
      </c>
      <c r="E343">
        <v>3550.5</v>
      </c>
      <c r="F343" s="289">
        <f t="shared" si="19"/>
        <v>1.1699889352800863E-2</v>
      </c>
    </row>
    <row r="344" spans="2:6" hidden="1" outlineLevel="1" x14ac:dyDescent="0.25">
      <c r="B344" s="291">
        <v>44145</v>
      </c>
      <c r="C344">
        <v>83.349997999999999</v>
      </c>
      <c r="D344" s="289">
        <f t="shared" si="19"/>
        <v>1.919783589138957E-2</v>
      </c>
      <c r="E344">
        <v>3545.530029</v>
      </c>
      <c r="F344" s="289">
        <f t="shared" si="19"/>
        <v>-1.3997946768060654E-3</v>
      </c>
    </row>
    <row r="345" spans="2:6" hidden="1" outlineLevel="1" x14ac:dyDescent="0.25">
      <c r="B345" s="291">
        <v>44146</v>
      </c>
      <c r="C345">
        <v>84.93</v>
      </c>
      <c r="D345" s="289">
        <f t="shared" si="19"/>
        <v>1.8956233208307971E-2</v>
      </c>
      <c r="E345">
        <v>3572.6599120000001</v>
      </c>
      <c r="F345" s="289">
        <f t="shared" si="19"/>
        <v>7.6518553722846328E-3</v>
      </c>
    </row>
    <row r="346" spans="2:6" hidden="1" outlineLevel="1" x14ac:dyDescent="0.25">
      <c r="B346" s="291">
        <v>44147</v>
      </c>
      <c r="C346">
        <v>84.730002999999996</v>
      </c>
      <c r="D346" s="289">
        <f t="shared" si="19"/>
        <v>-2.3548451666078885E-3</v>
      </c>
      <c r="E346">
        <v>3537.01001</v>
      </c>
      <c r="F346" s="289">
        <f t="shared" si="19"/>
        <v>-9.9785322079657401E-3</v>
      </c>
    </row>
    <row r="347" spans="2:6" hidden="1" outlineLevel="1" x14ac:dyDescent="0.25">
      <c r="B347" s="291">
        <v>44148</v>
      </c>
      <c r="C347">
        <v>85.360000999999997</v>
      </c>
      <c r="D347" s="289">
        <f t="shared" si="19"/>
        <v>7.4353591135833952E-3</v>
      </c>
      <c r="E347">
        <v>3585.1499020000001</v>
      </c>
      <c r="F347" s="289">
        <f t="shared" si="19"/>
        <v>1.3610335244711447E-2</v>
      </c>
    </row>
    <row r="348" spans="2:6" hidden="1" outlineLevel="1" x14ac:dyDescent="0.25">
      <c r="B348" s="291">
        <v>44151</v>
      </c>
      <c r="C348">
        <v>85.93</v>
      </c>
      <c r="D348" s="289">
        <f t="shared" si="19"/>
        <v>6.6775889564483215E-3</v>
      </c>
      <c r="E348">
        <v>3626.9099120000001</v>
      </c>
      <c r="F348" s="289">
        <f t="shared" si="19"/>
        <v>1.1648051306502927E-2</v>
      </c>
    </row>
    <row r="349" spans="2:6" hidden="1" outlineLevel="1" x14ac:dyDescent="0.25">
      <c r="B349" s="291">
        <v>44152</v>
      </c>
      <c r="C349">
        <v>85.349997999999999</v>
      </c>
      <c r="D349" s="289">
        <f t="shared" si="19"/>
        <v>-6.7497032468288864E-3</v>
      </c>
      <c r="E349">
        <v>3609.530029</v>
      </c>
      <c r="F349" s="289">
        <f t="shared" si="19"/>
        <v>-4.7919257499330348E-3</v>
      </c>
    </row>
    <row r="350" spans="2:6" hidden="1" outlineLevel="1" x14ac:dyDescent="0.25">
      <c r="B350" s="291">
        <v>44153</v>
      </c>
      <c r="C350">
        <v>84.610000999999997</v>
      </c>
      <c r="D350" s="289">
        <f t="shared" ref="D350:F365" si="20">C350/C349-1</f>
        <v>-8.6701466589372833E-3</v>
      </c>
      <c r="E350">
        <v>3567.790039</v>
      </c>
      <c r="F350" s="289">
        <f t="shared" si="20"/>
        <v>-1.1563829546962889E-2</v>
      </c>
    </row>
    <row r="351" spans="2:6" hidden="1" outlineLevel="1" x14ac:dyDescent="0.25">
      <c r="B351" s="291">
        <v>44154</v>
      </c>
      <c r="C351">
        <v>85.379997000000003</v>
      </c>
      <c r="D351" s="289">
        <f t="shared" si="20"/>
        <v>9.1005317444683431E-3</v>
      </c>
      <c r="E351">
        <v>3581.8701169999999</v>
      </c>
      <c r="F351" s="289">
        <f t="shared" si="20"/>
        <v>3.9464424324551217E-3</v>
      </c>
    </row>
    <row r="352" spans="2:6" hidden="1" outlineLevel="1" x14ac:dyDescent="0.25">
      <c r="B352" s="291">
        <v>44155</v>
      </c>
      <c r="C352">
        <v>85.160004000000001</v>
      </c>
      <c r="D352" s="289">
        <f t="shared" si="20"/>
        <v>-2.5766339626365209E-3</v>
      </c>
      <c r="E352">
        <v>3557.540039</v>
      </c>
      <c r="F352" s="289">
        <f t="shared" si="20"/>
        <v>-6.7925628806377869E-3</v>
      </c>
    </row>
    <row r="353" spans="2:6" hidden="1" outlineLevel="1" x14ac:dyDescent="0.25">
      <c r="B353" s="291">
        <v>44158</v>
      </c>
      <c r="C353">
        <v>84.540001000000004</v>
      </c>
      <c r="D353" s="289">
        <f t="shared" si="20"/>
        <v>-7.2804482254368308E-3</v>
      </c>
      <c r="E353">
        <v>3577.5900879999999</v>
      </c>
      <c r="F353" s="289">
        <f t="shared" si="20"/>
        <v>5.6359306656281749E-3</v>
      </c>
    </row>
    <row r="354" spans="2:6" hidden="1" outlineLevel="1" x14ac:dyDescent="0.25">
      <c r="B354" s="291">
        <v>44159</v>
      </c>
      <c r="C354">
        <v>84.709998999999996</v>
      </c>
      <c r="D354" s="289">
        <f t="shared" si="20"/>
        <v>2.0108587412956958E-3</v>
      </c>
      <c r="E354">
        <v>3635.4099120000001</v>
      </c>
      <c r="F354" s="289">
        <f t="shared" si="20"/>
        <v>1.6161668211777558E-2</v>
      </c>
    </row>
    <row r="355" spans="2:6" hidden="1" outlineLevel="1" x14ac:dyDescent="0.25">
      <c r="B355" s="291">
        <v>44160</v>
      </c>
      <c r="C355">
        <v>84.75</v>
      </c>
      <c r="D355" s="289">
        <f t="shared" si="20"/>
        <v>4.7221107864725553E-4</v>
      </c>
      <c r="E355">
        <v>3629.6499020000001</v>
      </c>
      <c r="F355" s="289">
        <f t="shared" si="20"/>
        <v>-1.5844183020425895E-3</v>
      </c>
    </row>
    <row r="356" spans="2:6" hidden="1" outlineLevel="1" x14ac:dyDescent="0.25">
      <c r="B356" s="291">
        <v>44162</v>
      </c>
      <c r="C356">
        <v>84.900002000000001</v>
      </c>
      <c r="D356" s="289">
        <f t="shared" si="20"/>
        <v>1.7699351032447463E-3</v>
      </c>
      <c r="E356">
        <v>3638.3500979999999</v>
      </c>
      <c r="F356" s="289">
        <f t="shared" si="20"/>
        <v>2.3969793877931522E-3</v>
      </c>
    </row>
    <row r="357" spans="2:6" hidden="1" outlineLevel="1" x14ac:dyDescent="0.25">
      <c r="B357" s="291">
        <v>44165</v>
      </c>
      <c r="C357">
        <v>85.639999000000003</v>
      </c>
      <c r="D357" s="289">
        <f t="shared" si="20"/>
        <v>8.71610109031562E-3</v>
      </c>
      <c r="E357">
        <v>3621.6298830000001</v>
      </c>
      <c r="F357" s="289">
        <f t="shared" si="20"/>
        <v>-4.5955486826819714E-3</v>
      </c>
    </row>
    <row r="358" spans="2:6" hidden="1" outlineLevel="1" x14ac:dyDescent="0.25">
      <c r="B358" s="291">
        <v>44166</v>
      </c>
      <c r="C358">
        <v>86.260002</v>
      </c>
      <c r="D358" s="289">
        <f t="shared" si="20"/>
        <v>7.2396427748673275E-3</v>
      </c>
      <c r="E358">
        <v>3662.4499510000001</v>
      </c>
      <c r="F358" s="289">
        <f t="shared" si="20"/>
        <v>1.1271187094962443E-2</v>
      </c>
    </row>
    <row r="359" spans="2:6" hidden="1" outlineLevel="1" x14ac:dyDescent="0.25">
      <c r="B359" s="291">
        <v>44167</v>
      </c>
      <c r="C359">
        <v>85.739998</v>
      </c>
      <c r="D359" s="289">
        <f t="shared" si="20"/>
        <v>-6.0283328071334408E-3</v>
      </c>
      <c r="E359">
        <v>3669.01001</v>
      </c>
      <c r="F359" s="289">
        <f t="shared" si="20"/>
        <v>1.7911668658321389E-3</v>
      </c>
    </row>
    <row r="360" spans="2:6" hidden="1" outlineLevel="1" x14ac:dyDescent="0.25">
      <c r="B360" s="291">
        <v>44168</v>
      </c>
      <c r="C360">
        <v>85.190002000000007</v>
      </c>
      <c r="D360" s="289">
        <f t="shared" si="20"/>
        <v>-6.4146957409538796E-3</v>
      </c>
      <c r="E360">
        <v>3666.719971</v>
      </c>
      <c r="F360" s="289">
        <f t="shared" si="20"/>
        <v>-6.2415719601705E-4</v>
      </c>
    </row>
    <row r="361" spans="2:6" hidden="1" outlineLevel="1" x14ac:dyDescent="0.25">
      <c r="B361" s="291">
        <v>44169</v>
      </c>
      <c r="C361">
        <v>85.029999000000004</v>
      </c>
      <c r="D361" s="289">
        <f t="shared" si="20"/>
        <v>-1.8781898843012179E-3</v>
      </c>
      <c r="E361">
        <v>3699.1201169999999</v>
      </c>
      <c r="F361" s="289">
        <f t="shared" si="20"/>
        <v>8.8362749967960674E-3</v>
      </c>
    </row>
    <row r="362" spans="2:6" hidden="1" outlineLevel="1" x14ac:dyDescent="0.25">
      <c r="B362" s="291">
        <v>44172</v>
      </c>
      <c r="C362">
        <v>85.389999000000003</v>
      </c>
      <c r="D362" s="289">
        <f t="shared" si="20"/>
        <v>4.2337998851440517E-3</v>
      </c>
      <c r="E362">
        <v>3691.959961</v>
      </c>
      <c r="F362" s="289">
        <f t="shared" si="20"/>
        <v>-1.9356376039518786E-3</v>
      </c>
    </row>
    <row r="363" spans="2:6" hidden="1" outlineLevel="1" x14ac:dyDescent="0.25">
      <c r="B363" s="291">
        <v>44173</v>
      </c>
      <c r="C363">
        <v>85.169998000000007</v>
      </c>
      <c r="D363" s="289">
        <f t="shared" si="20"/>
        <v>-2.5764258411573593E-3</v>
      </c>
      <c r="E363">
        <v>3702.25</v>
      </c>
      <c r="F363" s="289">
        <f t="shared" si="20"/>
        <v>2.7871480483805389E-3</v>
      </c>
    </row>
    <row r="364" spans="2:6" hidden="1" outlineLevel="1" x14ac:dyDescent="0.25">
      <c r="B364" s="291">
        <v>44174</v>
      </c>
      <c r="C364">
        <v>84.75</v>
      </c>
      <c r="D364" s="289">
        <f t="shared" si="20"/>
        <v>-4.9312904762544019E-3</v>
      </c>
      <c r="E364">
        <v>3672.820068</v>
      </c>
      <c r="F364" s="289">
        <f t="shared" si="20"/>
        <v>-7.9492017016679073E-3</v>
      </c>
    </row>
    <row r="365" spans="2:6" hidden="1" outlineLevel="1" x14ac:dyDescent="0.25">
      <c r="B365" s="291">
        <v>44175</v>
      </c>
      <c r="C365">
        <v>84.589995999999999</v>
      </c>
      <c r="D365" s="289">
        <f t="shared" si="20"/>
        <v>-1.8879528023598713E-3</v>
      </c>
      <c r="E365">
        <v>3668.1000979999999</v>
      </c>
      <c r="F365" s="289">
        <f t="shared" si="20"/>
        <v>-1.2851078769481328E-3</v>
      </c>
    </row>
    <row r="366" spans="2:6" hidden="1" outlineLevel="1" x14ac:dyDescent="0.25">
      <c r="B366" s="291">
        <v>44176</v>
      </c>
      <c r="C366">
        <v>84.68</v>
      </c>
      <c r="D366" s="289">
        <f t="shared" ref="D366:F381" si="21">C366/C365-1</f>
        <v>1.0640028875283924E-3</v>
      </c>
      <c r="E366">
        <v>3663.459961</v>
      </c>
      <c r="F366" s="289">
        <f t="shared" si="21"/>
        <v>-1.2649973763065869E-3</v>
      </c>
    </row>
    <row r="367" spans="2:6" hidden="1" outlineLevel="1" x14ac:dyDescent="0.25">
      <c r="B367" s="291">
        <v>44179</v>
      </c>
      <c r="C367">
        <v>84.190002000000007</v>
      </c>
      <c r="D367" s="289">
        <f t="shared" si="21"/>
        <v>-5.7864666981577439E-3</v>
      </c>
      <c r="E367">
        <v>3647.48999</v>
      </c>
      <c r="F367" s="289">
        <f t="shared" si="21"/>
        <v>-4.359259052920228E-3</v>
      </c>
    </row>
    <row r="368" spans="2:6" hidden="1" outlineLevel="1" x14ac:dyDescent="0.25">
      <c r="B368" s="291">
        <v>44180</v>
      </c>
      <c r="C368">
        <v>84.75</v>
      </c>
      <c r="D368" s="289">
        <f t="shared" si="21"/>
        <v>6.6515974188954274E-3</v>
      </c>
      <c r="E368">
        <v>3694.6201169999999</v>
      </c>
      <c r="F368" s="289">
        <f t="shared" si="21"/>
        <v>1.2921249168390325E-2</v>
      </c>
    </row>
    <row r="369" spans="2:6" hidden="1" outlineLevel="1" x14ac:dyDescent="0.25">
      <c r="B369" s="291">
        <v>44181</v>
      </c>
      <c r="C369">
        <v>85.040001000000004</v>
      </c>
      <c r="D369" s="289">
        <f t="shared" si="21"/>
        <v>3.4218407079646962E-3</v>
      </c>
      <c r="E369">
        <v>3701.169922</v>
      </c>
      <c r="F369" s="289">
        <f t="shared" si="21"/>
        <v>1.7727952516315426E-3</v>
      </c>
    </row>
    <row r="370" spans="2:6" hidden="1" outlineLevel="1" x14ac:dyDescent="0.25">
      <c r="B370" s="291">
        <v>44182</v>
      </c>
      <c r="C370">
        <v>85.660004000000001</v>
      </c>
      <c r="D370" s="289">
        <f t="shared" si="21"/>
        <v>7.2907219274374047E-3</v>
      </c>
      <c r="E370">
        <v>3722.4799800000001</v>
      </c>
      <c r="F370" s="289">
        <f t="shared" si="21"/>
        <v>5.7576545927631173E-3</v>
      </c>
    </row>
    <row r="371" spans="2:6" hidden="1" outlineLevel="1" x14ac:dyDescent="0.25">
      <c r="B371" s="291">
        <v>44183</v>
      </c>
      <c r="C371">
        <v>85.93</v>
      </c>
      <c r="D371" s="289">
        <f t="shared" si="21"/>
        <v>3.1519494208755994E-3</v>
      </c>
      <c r="E371">
        <v>3709.4099120000001</v>
      </c>
      <c r="F371" s="289">
        <f t="shared" si="21"/>
        <v>-3.5111184130531825E-3</v>
      </c>
    </row>
    <row r="372" spans="2:6" hidden="1" outlineLevel="1" x14ac:dyDescent="0.25">
      <c r="B372" s="291">
        <v>44186</v>
      </c>
      <c r="C372">
        <v>85.309997999999993</v>
      </c>
      <c r="D372" s="289">
        <f t="shared" si="21"/>
        <v>-7.2151984173165484E-3</v>
      </c>
      <c r="E372">
        <v>3694.919922</v>
      </c>
      <c r="F372" s="289">
        <f t="shared" si="21"/>
        <v>-3.9062789887751581E-3</v>
      </c>
    </row>
    <row r="373" spans="2:6" hidden="1" outlineLevel="1" x14ac:dyDescent="0.25">
      <c r="B373" s="291">
        <v>44187</v>
      </c>
      <c r="C373">
        <v>84.400002000000001</v>
      </c>
      <c r="D373" s="289">
        <f t="shared" si="21"/>
        <v>-1.0666932614392888E-2</v>
      </c>
      <c r="E373">
        <v>3687.26001</v>
      </c>
      <c r="F373" s="289">
        <f t="shared" si="21"/>
        <v>-2.0730928306164076E-3</v>
      </c>
    </row>
    <row r="374" spans="2:6" hidden="1" outlineLevel="1" x14ac:dyDescent="0.25">
      <c r="B374" s="291">
        <v>44188</v>
      </c>
      <c r="C374">
        <v>84.43</v>
      </c>
      <c r="D374" s="289">
        <f t="shared" si="21"/>
        <v>3.554265318619354E-4</v>
      </c>
      <c r="E374">
        <v>3690.01001</v>
      </c>
      <c r="F374" s="289">
        <f t="shared" si="21"/>
        <v>7.4581125077743948E-4</v>
      </c>
    </row>
    <row r="375" spans="2:6" hidden="1" outlineLevel="1" x14ac:dyDescent="0.25">
      <c r="B375" s="291">
        <v>44189</v>
      </c>
      <c r="C375">
        <v>85.040001000000004</v>
      </c>
      <c r="D375" s="289">
        <f t="shared" si="21"/>
        <v>7.2249318962454012E-3</v>
      </c>
      <c r="E375">
        <v>3703.0600589999999</v>
      </c>
      <c r="F375" s="289">
        <f t="shared" si="21"/>
        <v>3.5365890511500631E-3</v>
      </c>
    </row>
    <row r="376" spans="2:6" hidden="1" outlineLevel="1" x14ac:dyDescent="0.25">
      <c r="B376" s="291">
        <v>44193</v>
      </c>
      <c r="C376">
        <v>85.410004000000001</v>
      </c>
      <c r="D376" s="289">
        <f t="shared" si="21"/>
        <v>4.3509289234369142E-3</v>
      </c>
      <c r="E376">
        <v>3735.360107</v>
      </c>
      <c r="F376" s="289">
        <f t="shared" si="21"/>
        <v>8.7225287965548848E-3</v>
      </c>
    </row>
    <row r="377" spans="2:6" hidden="1" outlineLevel="1" x14ac:dyDescent="0.25">
      <c r="B377" s="291">
        <v>44194</v>
      </c>
      <c r="C377">
        <v>85.029999000000004</v>
      </c>
      <c r="D377" s="289">
        <f t="shared" si="21"/>
        <v>-4.4491860695849983E-3</v>
      </c>
      <c r="E377">
        <v>3727.040039</v>
      </c>
      <c r="F377" s="289">
        <f t="shared" si="21"/>
        <v>-2.2273804296427668E-3</v>
      </c>
    </row>
    <row r="378" spans="2:6" hidden="1" outlineLevel="1" x14ac:dyDescent="0.25">
      <c r="B378" s="291">
        <v>44195</v>
      </c>
      <c r="C378">
        <v>84.730002999999996</v>
      </c>
      <c r="D378" s="289">
        <f t="shared" si="21"/>
        <v>-3.528119528732554E-3</v>
      </c>
      <c r="E378">
        <v>3732.040039</v>
      </c>
      <c r="F378" s="289">
        <f t="shared" si="21"/>
        <v>1.3415471654931732E-3</v>
      </c>
    </row>
    <row r="379" spans="2:6" hidden="1" outlineLevel="1" x14ac:dyDescent="0.25">
      <c r="B379" s="291">
        <v>44196</v>
      </c>
      <c r="C379">
        <v>85.510002</v>
      </c>
      <c r="D379" s="289">
        <f t="shared" si="21"/>
        <v>9.2057001343432976E-3</v>
      </c>
      <c r="E379">
        <v>3756.070068</v>
      </c>
      <c r="F379" s="289">
        <f t="shared" si="21"/>
        <v>6.4388454434800568E-3</v>
      </c>
    </row>
    <row r="380" spans="2:6" hidden="1" outlineLevel="1" x14ac:dyDescent="0.25">
      <c r="B380" s="291">
        <v>44200</v>
      </c>
      <c r="C380">
        <v>84.330001999999993</v>
      </c>
      <c r="D380" s="289">
        <f t="shared" si="21"/>
        <v>-1.3799555284772502E-2</v>
      </c>
      <c r="E380">
        <v>3700.6499020000001</v>
      </c>
      <c r="F380" s="289">
        <f t="shared" si="21"/>
        <v>-1.4754827518302815E-2</v>
      </c>
    </row>
    <row r="381" spans="2:6" hidden="1" outlineLevel="1" x14ac:dyDescent="0.25">
      <c r="B381" s="291">
        <v>44201</v>
      </c>
      <c r="C381">
        <v>84.519997000000004</v>
      </c>
      <c r="D381" s="289">
        <f t="shared" si="21"/>
        <v>2.2529941360609484E-3</v>
      </c>
      <c r="E381">
        <v>3726.860107</v>
      </c>
      <c r="F381" s="289">
        <f t="shared" si="21"/>
        <v>7.0825951370958595E-3</v>
      </c>
    </row>
    <row r="382" spans="2:6" hidden="1" outlineLevel="1" x14ac:dyDescent="0.25">
      <c r="B382" s="291">
        <v>44202</v>
      </c>
      <c r="C382">
        <v>82.25</v>
      </c>
      <c r="D382" s="289">
        <f t="shared" ref="D382:F397" si="22">C382/C381-1</f>
        <v>-2.6857513967966651E-2</v>
      </c>
      <c r="E382">
        <v>3748.139893</v>
      </c>
      <c r="F382" s="289">
        <f t="shared" si="22"/>
        <v>5.7098429747957091E-3</v>
      </c>
    </row>
    <row r="383" spans="2:6" hidden="1" outlineLevel="1" x14ac:dyDescent="0.25">
      <c r="B383" s="291">
        <v>44203</v>
      </c>
      <c r="C383">
        <v>81.800003000000004</v>
      </c>
      <c r="D383" s="289">
        <f t="shared" si="22"/>
        <v>-5.4710881458965854E-3</v>
      </c>
      <c r="E383">
        <v>3803.790039</v>
      </c>
      <c r="F383" s="289">
        <f t="shared" si="22"/>
        <v>1.4847403669199233E-2</v>
      </c>
    </row>
    <row r="384" spans="2:6" hidden="1" outlineLevel="1" x14ac:dyDescent="0.25">
      <c r="B384" s="291">
        <v>44204</v>
      </c>
      <c r="C384">
        <v>82.349997999999999</v>
      </c>
      <c r="D384" s="289">
        <f t="shared" si="22"/>
        <v>6.7236550101348325E-3</v>
      </c>
      <c r="E384">
        <v>3824.679932</v>
      </c>
      <c r="F384" s="289">
        <f t="shared" si="22"/>
        <v>5.4918627962683431E-3</v>
      </c>
    </row>
    <row r="385" spans="2:6" hidden="1" outlineLevel="1" x14ac:dyDescent="0.25">
      <c r="B385" s="291">
        <v>44207</v>
      </c>
      <c r="C385">
        <v>82.139999000000003</v>
      </c>
      <c r="D385" s="289">
        <f t="shared" si="22"/>
        <v>-2.5500789933230461E-3</v>
      </c>
      <c r="E385">
        <v>3799.610107</v>
      </c>
      <c r="F385" s="289">
        <f t="shared" si="22"/>
        <v>-6.554751102242018E-3</v>
      </c>
    </row>
    <row r="386" spans="2:6" hidden="1" outlineLevel="1" x14ac:dyDescent="0.25">
      <c r="B386" s="291">
        <v>44208</v>
      </c>
      <c r="C386">
        <v>82.260002</v>
      </c>
      <c r="D386" s="289">
        <f t="shared" si="22"/>
        <v>1.4609569206349704E-3</v>
      </c>
      <c r="E386">
        <v>3801.1899410000001</v>
      </c>
      <c r="F386" s="289">
        <f t="shared" si="22"/>
        <v>4.1578845079115467E-4</v>
      </c>
    </row>
    <row r="387" spans="2:6" hidden="1" outlineLevel="1" x14ac:dyDescent="0.25">
      <c r="B387" s="291">
        <v>44209</v>
      </c>
      <c r="C387">
        <v>82.489998</v>
      </c>
      <c r="D387" s="289">
        <f t="shared" si="22"/>
        <v>2.7959639485541921E-3</v>
      </c>
      <c r="E387">
        <v>3809.8400879999999</v>
      </c>
      <c r="F387" s="289">
        <f t="shared" si="22"/>
        <v>2.2756418737981399E-3</v>
      </c>
    </row>
    <row r="388" spans="2:6" hidden="1" outlineLevel="1" x14ac:dyDescent="0.25">
      <c r="B388" s="291">
        <v>44210</v>
      </c>
      <c r="C388">
        <v>81.940002000000007</v>
      </c>
      <c r="D388" s="289">
        <f t="shared" si="22"/>
        <v>-6.6674265163637614E-3</v>
      </c>
      <c r="E388">
        <v>3795.540039</v>
      </c>
      <c r="F388" s="289">
        <f t="shared" si="22"/>
        <v>-3.7534512393423425E-3</v>
      </c>
    </row>
    <row r="389" spans="2:6" hidden="1" outlineLevel="1" x14ac:dyDescent="0.25">
      <c r="B389" s="291">
        <v>44211</v>
      </c>
      <c r="C389">
        <v>81.879997000000003</v>
      </c>
      <c r="D389" s="289">
        <f t="shared" si="22"/>
        <v>-7.3230410709534954E-4</v>
      </c>
      <c r="E389">
        <v>3768.25</v>
      </c>
      <c r="F389" s="289">
        <f t="shared" si="22"/>
        <v>-7.1900279590226823E-3</v>
      </c>
    </row>
    <row r="390" spans="2:6" hidden="1" outlineLevel="1" x14ac:dyDescent="0.25">
      <c r="B390" s="291">
        <v>44215</v>
      </c>
      <c r="C390">
        <v>80.849997999999999</v>
      </c>
      <c r="D390" s="289">
        <f t="shared" si="22"/>
        <v>-1.2579372712971715E-2</v>
      </c>
      <c r="E390">
        <v>3798.9099120000001</v>
      </c>
      <c r="F390" s="289">
        <f t="shared" si="22"/>
        <v>8.1363794864990346E-3</v>
      </c>
    </row>
    <row r="391" spans="2:6" hidden="1" outlineLevel="1" x14ac:dyDescent="0.25">
      <c r="B391" s="291">
        <v>44216</v>
      </c>
      <c r="C391">
        <v>80.199996999999996</v>
      </c>
      <c r="D391" s="289">
        <f t="shared" si="22"/>
        <v>-8.0395920356114425E-3</v>
      </c>
      <c r="E391">
        <v>3851.8500979999999</v>
      </c>
      <c r="F391" s="289">
        <f t="shared" si="22"/>
        <v>1.3935625541624974E-2</v>
      </c>
    </row>
    <row r="392" spans="2:6" hidden="1" outlineLevel="1" x14ac:dyDescent="0.25">
      <c r="B392" s="291">
        <v>44217</v>
      </c>
      <c r="C392">
        <v>79.279999000000004</v>
      </c>
      <c r="D392" s="289">
        <f t="shared" si="22"/>
        <v>-1.147129718720552E-2</v>
      </c>
      <c r="E392">
        <v>3853.070068</v>
      </c>
      <c r="F392" s="289">
        <f t="shared" si="22"/>
        <v>3.1672312498187694E-4</v>
      </c>
    </row>
    <row r="393" spans="2:6" hidden="1" outlineLevel="1" x14ac:dyDescent="0.25">
      <c r="B393" s="291">
        <v>44218</v>
      </c>
      <c r="C393">
        <v>78.190002000000007</v>
      </c>
      <c r="D393" s="289">
        <f t="shared" si="22"/>
        <v>-1.3748700980684925E-2</v>
      </c>
      <c r="E393">
        <v>3841.469971</v>
      </c>
      <c r="F393" s="289">
        <f t="shared" si="22"/>
        <v>-3.0106114851996546E-3</v>
      </c>
    </row>
    <row r="394" spans="2:6" hidden="1" outlineLevel="1" x14ac:dyDescent="0.25">
      <c r="B394" s="291">
        <v>44221</v>
      </c>
      <c r="C394">
        <v>78.610000999999997</v>
      </c>
      <c r="D394" s="289">
        <f t="shared" si="22"/>
        <v>5.3715179595466012E-3</v>
      </c>
      <c r="E394">
        <v>3855.360107</v>
      </c>
      <c r="F394" s="289">
        <f t="shared" si="22"/>
        <v>3.6158387557001515E-3</v>
      </c>
    </row>
    <row r="395" spans="2:6" hidden="1" outlineLevel="1" x14ac:dyDescent="0.25">
      <c r="B395" s="291">
        <v>44222</v>
      </c>
      <c r="C395">
        <v>78.75</v>
      </c>
      <c r="D395" s="289">
        <f t="shared" si="22"/>
        <v>1.7809311565839536E-3</v>
      </c>
      <c r="E395">
        <v>3849.6201169999999</v>
      </c>
      <c r="F395" s="289">
        <f t="shared" si="22"/>
        <v>-1.4888336862691753E-3</v>
      </c>
    </row>
    <row r="396" spans="2:6" hidden="1" outlineLevel="1" x14ac:dyDescent="0.25">
      <c r="B396" s="291">
        <v>44223</v>
      </c>
      <c r="C396">
        <v>78.029999000000004</v>
      </c>
      <c r="D396" s="289">
        <f t="shared" si="22"/>
        <v>-9.142869841269774E-3</v>
      </c>
      <c r="E396">
        <v>3750.7700199999999</v>
      </c>
      <c r="F396" s="289">
        <f t="shared" si="22"/>
        <v>-2.5677883530241363E-2</v>
      </c>
    </row>
    <row r="397" spans="2:6" hidden="1" outlineLevel="1" x14ac:dyDescent="0.25">
      <c r="B397" s="291">
        <v>44224</v>
      </c>
      <c r="C397">
        <v>79.150002000000001</v>
      </c>
      <c r="D397" s="289">
        <f t="shared" si="22"/>
        <v>1.4353492430520198E-2</v>
      </c>
      <c r="E397">
        <v>3787.3798830000001</v>
      </c>
      <c r="F397" s="289">
        <f t="shared" si="22"/>
        <v>9.7606258994253903E-3</v>
      </c>
    </row>
    <row r="398" spans="2:6" hidden="1" outlineLevel="1" x14ac:dyDescent="0.25">
      <c r="B398" s="291">
        <v>44225</v>
      </c>
      <c r="C398">
        <v>78</v>
      </c>
      <c r="D398" s="289">
        <f t="shared" ref="D398:F413" si="23">C398/C397-1</f>
        <v>-1.4529399506521767E-2</v>
      </c>
      <c r="E398">
        <v>3714.23999</v>
      </c>
      <c r="F398" s="289">
        <f t="shared" si="23"/>
        <v>-1.9311475283558144E-2</v>
      </c>
    </row>
    <row r="399" spans="2:6" hidden="1" outlineLevel="1" x14ac:dyDescent="0.25">
      <c r="B399" s="291">
        <v>44228</v>
      </c>
      <c r="C399">
        <v>78.519997000000004</v>
      </c>
      <c r="D399" s="289">
        <f t="shared" si="23"/>
        <v>6.6666282051282E-3</v>
      </c>
      <c r="E399">
        <v>3773.860107</v>
      </c>
      <c r="F399" s="289">
        <f t="shared" si="23"/>
        <v>1.6051767564970953E-2</v>
      </c>
    </row>
    <row r="400" spans="2:6" hidden="1" outlineLevel="1" x14ac:dyDescent="0.25">
      <c r="B400" s="291">
        <v>44229</v>
      </c>
      <c r="C400">
        <v>78.849997999999999</v>
      </c>
      <c r="D400" s="289">
        <f t="shared" si="23"/>
        <v>4.2027637876755897E-3</v>
      </c>
      <c r="E400">
        <v>3826.3100589999999</v>
      </c>
      <c r="F400" s="289">
        <f t="shared" si="23"/>
        <v>1.389822370540772E-2</v>
      </c>
    </row>
    <row r="401" spans="2:6" hidden="1" outlineLevel="1" x14ac:dyDescent="0.25">
      <c r="B401" s="291">
        <v>44230</v>
      </c>
      <c r="C401">
        <v>78.879997000000003</v>
      </c>
      <c r="D401" s="289">
        <f t="shared" si="23"/>
        <v>3.8045657274476952E-4</v>
      </c>
      <c r="E401">
        <v>3830.169922</v>
      </c>
      <c r="F401" s="289">
        <f t="shared" si="23"/>
        <v>1.0087690073419253E-3</v>
      </c>
    </row>
    <row r="402" spans="2:6" hidden="1" outlineLevel="1" x14ac:dyDescent="0.25">
      <c r="B402" s="291">
        <v>44231</v>
      </c>
      <c r="C402">
        <v>78.930000000000007</v>
      </c>
      <c r="D402" s="289">
        <f t="shared" si="23"/>
        <v>6.3391229591447384E-4</v>
      </c>
      <c r="E402">
        <v>3871.73999</v>
      </c>
      <c r="F402" s="289">
        <f t="shared" si="23"/>
        <v>1.0853322136239241E-2</v>
      </c>
    </row>
    <row r="403" spans="2:6" hidden="1" outlineLevel="1" x14ac:dyDescent="0.25">
      <c r="B403" s="291">
        <v>44232</v>
      </c>
      <c r="C403">
        <v>79.870002999999997</v>
      </c>
      <c r="D403" s="289">
        <f t="shared" si="23"/>
        <v>1.1909324718104575E-2</v>
      </c>
      <c r="E403">
        <v>3886.830078</v>
      </c>
      <c r="F403" s="289">
        <f t="shared" si="23"/>
        <v>3.8974951931107782E-3</v>
      </c>
    </row>
    <row r="404" spans="2:6" hidden="1" outlineLevel="1" x14ac:dyDescent="0.25">
      <c r="B404" s="291">
        <v>44235</v>
      </c>
      <c r="C404">
        <v>79.699996999999996</v>
      </c>
      <c r="D404" s="289">
        <f t="shared" si="23"/>
        <v>-2.1285337875848187E-3</v>
      </c>
      <c r="E404">
        <v>3915.5900879999999</v>
      </c>
      <c r="F404" s="289">
        <f t="shared" si="23"/>
        <v>7.3993484209113891E-3</v>
      </c>
    </row>
    <row r="405" spans="2:6" hidden="1" outlineLevel="1" x14ac:dyDescent="0.25">
      <c r="B405" s="291">
        <v>44236</v>
      </c>
      <c r="C405">
        <v>78.699996999999996</v>
      </c>
      <c r="D405" s="289">
        <f t="shared" si="23"/>
        <v>-1.254705191519645E-2</v>
      </c>
      <c r="E405">
        <v>3911.2299800000001</v>
      </c>
      <c r="F405" s="289">
        <f t="shared" si="23"/>
        <v>-1.1135251397642598E-3</v>
      </c>
    </row>
    <row r="406" spans="2:6" hidden="1" outlineLevel="1" x14ac:dyDescent="0.25">
      <c r="B406" s="291">
        <v>44237</v>
      </c>
      <c r="C406">
        <v>79.110000999999997</v>
      </c>
      <c r="D406" s="289">
        <f t="shared" si="23"/>
        <v>5.2097079495441179E-3</v>
      </c>
      <c r="E406">
        <v>3909.8798830000001</v>
      </c>
      <c r="F406" s="289">
        <f t="shared" si="23"/>
        <v>-3.4518476461464775E-4</v>
      </c>
    </row>
    <row r="407" spans="2:6" hidden="1" outlineLevel="1" x14ac:dyDescent="0.25">
      <c r="B407" s="291">
        <v>44238</v>
      </c>
      <c r="C407">
        <v>78.410004000000001</v>
      </c>
      <c r="D407" s="289">
        <f t="shared" si="23"/>
        <v>-8.8484008488383115E-3</v>
      </c>
      <c r="E407">
        <v>3916.3798830000001</v>
      </c>
      <c r="F407" s="289">
        <f t="shared" si="23"/>
        <v>1.6624551634596418E-3</v>
      </c>
    </row>
    <row r="408" spans="2:6" hidden="1" outlineLevel="1" x14ac:dyDescent="0.25">
      <c r="B408" s="291">
        <v>44239</v>
      </c>
      <c r="C408">
        <v>78.430000000000007</v>
      </c>
      <c r="D408" s="289">
        <f t="shared" si="23"/>
        <v>2.550184795298005E-4</v>
      </c>
      <c r="E408">
        <v>3934.830078</v>
      </c>
      <c r="F408" s="289">
        <f t="shared" si="23"/>
        <v>4.7110330333601791E-3</v>
      </c>
    </row>
    <row r="409" spans="2:6" hidden="1" outlineLevel="1" x14ac:dyDescent="0.25">
      <c r="B409" s="291">
        <v>44243</v>
      </c>
      <c r="C409">
        <v>78.190002000000007</v>
      </c>
      <c r="D409" s="289">
        <f t="shared" si="23"/>
        <v>-3.0600280504908817E-3</v>
      </c>
      <c r="E409">
        <v>3932.5900879999999</v>
      </c>
      <c r="F409" s="289">
        <f t="shared" si="23"/>
        <v>-5.6927235880499527E-4</v>
      </c>
    </row>
    <row r="410" spans="2:6" hidden="1" outlineLevel="1" x14ac:dyDescent="0.25">
      <c r="B410" s="291">
        <v>44244</v>
      </c>
      <c r="C410">
        <v>78.440002000000007</v>
      </c>
      <c r="D410" s="289">
        <f t="shared" si="23"/>
        <v>3.1973397314914997E-3</v>
      </c>
      <c r="E410">
        <v>3931.330078</v>
      </c>
      <c r="F410" s="289">
        <f t="shared" si="23"/>
        <v>-3.2040206881589484E-4</v>
      </c>
    </row>
    <row r="411" spans="2:6" hidden="1" outlineLevel="1" x14ac:dyDescent="0.25">
      <c r="B411" s="291">
        <v>44245</v>
      </c>
      <c r="C411">
        <v>78.720000999999996</v>
      </c>
      <c r="D411" s="289">
        <f t="shared" si="23"/>
        <v>3.5695945035798538E-3</v>
      </c>
      <c r="E411">
        <v>3913.969971</v>
      </c>
      <c r="F411" s="289">
        <f t="shared" si="23"/>
        <v>-4.4158355201839861E-3</v>
      </c>
    </row>
    <row r="412" spans="2:6" hidden="1" outlineLevel="1" x14ac:dyDescent="0.25">
      <c r="B412" s="291">
        <v>44246</v>
      </c>
      <c r="C412">
        <v>77.199996999999996</v>
      </c>
      <c r="D412" s="289">
        <f t="shared" si="23"/>
        <v>-1.9308993657151996E-2</v>
      </c>
      <c r="E412">
        <v>3906.709961</v>
      </c>
      <c r="F412" s="289">
        <f t="shared" si="23"/>
        <v>-1.8548967043160447E-3</v>
      </c>
    </row>
    <row r="413" spans="2:6" hidden="1" outlineLevel="1" x14ac:dyDescent="0.25">
      <c r="B413" s="291">
        <v>44249</v>
      </c>
      <c r="C413">
        <v>77.269997000000004</v>
      </c>
      <c r="D413" s="289">
        <f t="shared" si="23"/>
        <v>9.0673578653133191E-4</v>
      </c>
      <c r="E413">
        <v>3876.5</v>
      </c>
      <c r="F413" s="289">
        <f t="shared" si="23"/>
        <v>-7.7328394740282524E-3</v>
      </c>
    </row>
    <row r="414" spans="2:6" hidden="1" outlineLevel="1" x14ac:dyDescent="0.25">
      <c r="B414" s="291">
        <v>44250</v>
      </c>
      <c r="C414">
        <v>77.489998</v>
      </c>
      <c r="D414" s="289">
        <f t="shared" ref="D414:F429" si="24">C414/C413-1</f>
        <v>2.8471723636793733E-3</v>
      </c>
      <c r="E414">
        <v>3881.3701169999999</v>
      </c>
      <c r="F414" s="289">
        <f t="shared" si="24"/>
        <v>1.2563180704243671E-3</v>
      </c>
    </row>
    <row r="415" spans="2:6" hidden="1" outlineLevel="1" x14ac:dyDescent="0.25">
      <c r="B415" s="291">
        <v>44251</v>
      </c>
      <c r="C415">
        <v>76.639999000000003</v>
      </c>
      <c r="D415" s="289">
        <f t="shared" si="24"/>
        <v>-1.0969144688840915E-2</v>
      </c>
      <c r="E415">
        <v>3925.429932</v>
      </c>
      <c r="F415" s="289">
        <f t="shared" si="24"/>
        <v>1.1351613907424785E-2</v>
      </c>
    </row>
    <row r="416" spans="2:6" hidden="1" outlineLevel="1" x14ac:dyDescent="0.25">
      <c r="B416" s="291">
        <v>44252</v>
      </c>
      <c r="C416">
        <v>76.690002000000007</v>
      </c>
      <c r="D416" s="289">
        <f t="shared" si="24"/>
        <v>6.524399876361997E-4</v>
      </c>
      <c r="E416">
        <v>3829.3400879999999</v>
      </c>
      <c r="F416" s="289">
        <f t="shared" si="24"/>
        <v>-2.4478807586572393E-2</v>
      </c>
    </row>
    <row r="417" spans="2:6" hidden="1" outlineLevel="1" x14ac:dyDescent="0.25">
      <c r="B417" s="291">
        <v>44253</v>
      </c>
      <c r="C417">
        <v>75.199996999999996</v>
      </c>
      <c r="D417" s="289">
        <f t="shared" si="24"/>
        <v>-1.942893416536895E-2</v>
      </c>
      <c r="E417">
        <v>3811.1499020000001</v>
      </c>
      <c r="F417" s="289">
        <f t="shared" si="24"/>
        <v>-4.7502142880968545E-3</v>
      </c>
    </row>
    <row r="418" spans="2:6" hidden="1" outlineLevel="1" x14ac:dyDescent="0.25">
      <c r="B418" s="291">
        <v>44256</v>
      </c>
      <c r="C418">
        <v>75.599997999999999</v>
      </c>
      <c r="D418" s="289">
        <f t="shared" si="24"/>
        <v>5.3191624462431975E-3</v>
      </c>
      <c r="E418">
        <v>3901.820068</v>
      </c>
      <c r="F418" s="289">
        <f t="shared" si="24"/>
        <v>2.3790763504846213E-2</v>
      </c>
    </row>
    <row r="419" spans="2:6" hidden="1" outlineLevel="1" x14ac:dyDescent="0.25">
      <c r="B419" s="291">
        <v>44257</v>
      </c>
      <c r="C419">
        <v>75.419998000000007</v>
      </c>
      <c r="D419" s="289">
        <f t="shared" si="24"/>
        <v>-2.3809524439404317E-3</v>
      </c>
      <c r="E419">
        <v>3870.290039</v>
      </c>
      <c r="F419" s="289">
        <f t="shared" si="24"/>
        <v>-8.0808516155286281E-3</v>
      </c>
    </row>
    <row r="420" spans="2:6" hidden="1" outlineLevel="1" x14ac:dyDescent="0.25">
      <c r="B420" s="291">
        <v>44258</v>
      </c>
      <c r="C420">
        <v>74.610000999999997</v>
      </c>
      <c r="D420" s="289">
        <f t="shared" si="24"/>
        <v>-1.0739817309462274E-2</v>
      </c>
      <c r="E420">
        <v>3819.719971</v>
      </c>
      <c r="F420" s="289">
        <f t="shared" si="24"/>
        <v>-1.3066221779354348E-2</v>
      </c>
    </row>
    <row r="421" spans="2:6" hidden="1" outlineLevel="1" x14ac:dyDescent="0.25">
      <c r="B421" s="291">
        <v>44259</v>
      </c>
      <c r="C421">
        <v>74.440002000000007</v>
      </c>
      <c r="D421" s="289">
        <f t="shared" si="24"/>
        <v>-2.2785015108094386E-3</v>
      </c>
      <c r="E421">
        <v>3768.469971</v>
      </c>
      <c r="F421" s="289">
        <f t="shared" si="24"/>
        <v>-1.341721392905737E-2</v>
      </c>
    </row>
    <row r="422" spans="2:6" hidden="1" outlineLevel="1" x14ac:dyDescent="0.25">
      <c r="B422" s="291">
        <v>44260</v>
      </c>
      <c r="C422">
        <v>76.059997999999993</v>
      </c>
      <c r="D422" s="289">
        <f t="shared" si="24"/>
        <v>2.1762438963932151E-2</v>
      </c>
      <c r="E422">
        <v>3841.9399410000001</v>
      </c>
      <c r="F422" s="289">
        <f t="shared" si="24"/>
        <v>1.9495968009665132E-2</v>
      </c>
    </row>
    <row r="423" spans="2:6" hidden="1" outlineLevel="1" x14ac:dyDescent="0.25">
      <c r="B423" s="291">
        <v>44263</v>
      </c>
      <c r="C423">
        <v>76.449996999999996</v>
      </c>
      <c r="D423" s="289">
        <f t="shared" si="24"/>
        <v>5.1275178839735869E-3</v>
      </c>
      <c r="E423">
        <v>3821.3500979999999</v>
      </c>
      <c r="F423" s="289">
        <f t="shared" si="24"/>
        <v>-5.3592308355140394E-3</v>
      </c>
    </row>
    <row r="424" spans="2:6" hidden="1" outlineLevel="1" x14ac:dyDescent="0.25">
      <c r="B424" s="291">
        <v>44264</v>
      </c>
      <c r="C424">
        <v>74.940002000000007</v>
      </c>
      <c r="D424" s="289">
        <f t="shared" si="24"/>
        <v>-1.9751406922880466E-2</v>
      </c>
      <c r="E424">
        <v>3875.4399410000001</v>
      </c>
      <c r="F424" s="289">
        <f t="shared" si="24"/>
        <v>1.4154642106283255E-2</v>
      </c>
    </row>
    <row r="425" spans="2:6" hidden="1" outlineLevel="1" x14ac:dyDescent="0.25">
      <c r="B425" s="291">
        <v>44265</v>
      </c>
      <c r="C425">
        <v>75.800003000000004</v>
      </c>
      <c r="D425" s="289">
        <f t="shared" si="24"/>
        <v>1.1475860382282876E-2</v>
      </c>
      <c r="E425">
        <v>3898.8100589999999</v>
      </c>
      <c r="F425" s="289">
        <f t="shared" si="24"/>
        <v>6.0303135529871099E-3</v>
      </c>
    </row>
    <row r="426" spans="2:6" hidden="1" outlineLevel="1" x14ac:dyDescent="0.25">
      <c r="B426" s="291">
        <v>44266</v>
      </c>
      <c r="C426">
        <v>75.269997000000004</v>
      </c>
      <c r="D426" s="289">
        <f t="shared" si="24"/>
        <v>-6.9921633116557524E-3</v>
      </c>
      <c r="E426">
        <v>3939.3400879999999</v>
      </c>
      <c r="F426" s="289">
        <f t="shared" si="24"/>
        <v>1.0395486927207598E-2</v>
      </c>
    </row>
    <row r="427" spans="2:6" hidden="1" outlineLevel="1" x14ac:dyDescent="0.25">
      <c r="B427" s="291">
        <v>44267</v>
      </c>
      <c r="C427">
        <v>75.510002</v>
      </c>
      <c r="D427" s="289">
        <f t="shared" si="24"/>
        <v>3.1885878778499244E-3</v>
      </c>
      <c r="E427">
        <v>3943.3400879999999</v>
      </c>
      <c r="F427" s="289">
        <f t="shared" si="24"/>
        <v>1.01539849585075E-3</v>
      </c>
    </row>
    <row r="428" spans="2:6" hidden="1" outlineLevel="1" x14ac:dyDescent="0.25">
      <c r="B428" s="291">
        <v>44270</v>
      </c>
      <c r="C428">
        <v>75.680000000000007</v>
      </c>
      <c r="D428" s="289">
        <f t="shared" si="24"/>
        <v>2.25133088991325E-3</v>
      </c>
      <c r="E428">
        <v>3968.9399410000001</v>
      </c>
      <c r="F428" s="289">
        <f t="shared" si="24"/>
        <v>6.4919211705587454E-3</v>
      </c>
    </row>
    <row r="429" spans="2:6" hidden="1" outlineLevel="1" x14ac:dyDescent="0.25">
      <c r="B429" s="291">
        <v>44271</v>
      </c>
      <c r="C429">
        <v>75.860000999999997</v>
      </c>
      <c r="D429" s="289">
        <f t="shared" si="24"/>
        <v>2.3784487315008374E-3</v>
      </c>
      <c r="E429">
        <v>3962.709961</v>
      </c>
      <c r="F429" s="289">
        <f t="shared" si="24"/>
        <v>-1.5696836164345029E-3</v>
      </c>
    </row>
    <row r="430" spans="2:6" hidden="1" outlineLevel="1" x14ac:dyDescent="0.25">
      <c r="B430" s="291">
        <v>44272</v>
      </c>
      <c r="C430">
        <v>75.800003000000004</v>
      </c>
      <c r="D430" s="289">
        <f t="shared" ref="D430:F445" si="25">C430/C429-1</f>
        <v>-7.909042869640448E-4</v>
      </c>
      <c r="E430">
        <v>3974.1201169999999</v>
      </c>
      <c r="F430" s="289">
        <f t="shared" si="25"/>
        <v>2.8793820673973514E-3</v>
      </c>
    </row>
    <row r="431" spans="2:6" hidden="1" outlineLevel="1" x14ac:dyDescent="0.25">
      <c r="B431" s="291">
        <v>44273</v>
      </c>
      <c r="C431">
        <v>76.069999999999993</v>
      </c>
      <c r="D431" s="289">
        <f t="shared" si="25"/>
        <v>3.5619655582335152E-3</v>
      </c>
      <c r="E431">
        <v>3915.459961</v>
      </c>
      <c r="F431" s="289">
        <f t="shared" si="25"/>
        <v>-1.4760539257248628E-2</v>
      </c>
    </row>
    <row r="432" spans="2:6" hidden="1" outlineLevel="1" x14ac:dyDescent="0.25">
      <c r="B432" s="291">
        <v>44274</v>
      </c>
      <c r="C432">
        <v>74.980002999999996</v>
      </c>
      <c r="D432" s="289">
        <f t="shared" si="25"/>
        <v>-1.4328868147758578E-2</v>
      </c>
      <c r="E432">
        <v>3913.1000979999999</v>
      </c>
      <c r="F432" s="289">
        <f t="shared" si="25"/>
        <v>-6.0270390286343289E-4</v>
      </c>
    </row>
    <row r="433" spans="2:6" hidden="1" outlineLevel="1" x14ac:dyDescent="0.25">
      <c r="B433" s="291">
        <v>44277</v>
      </c>
      <c r="C433">
        <v>75.769997000000004</v>
      </c>
      <c r="D433" s="289">
        <f t="shared" si="25"/>
        <v>1.0536062528565315E-2</v>
      </c>
      <c r="E433">
        <v>3940.5900879999999</v>
      </c>
      <c r="F433" s="289">
        <f t="shared" si="25"/>
        <v>7.0251180167995031E-3</v>
      </c>
    </row>
    <row r="434" spans="2:6" hidden="1" outlineLevel="1" x14ac:dyDescent="0.25">
      <c r="B434" s="291">
        <v>44278</v>
      </c>
      <c r="C434">
        <v>77.75</v>
      </c>
      <c r="D434" s="289">
        <f t="shared" si="25"/>
        <v>2.6131755026993053E-2</v>
      </c>
      <c r="E434">
        <v>3910.5200199999999</v>
      </c>
      <c r="F434" s="289">
        <f t="shared" si="25"/>
        <v>-7.6308540925305035E-3</v>
      </c>
    </row>
    <row r="435" spans="2:6" hidden="1" outlineLevel="1" x14ac:dyDescent="0.25">
      <c r="B435" s="291">
        <v>44279</v>
      </c>
      <c r="C435">
        <v>77.769997000000004</v>
      </c>
      <c r="D435" s="289">
        <f t="shared" si="25"/>
        <v>2.5719614147923231E-4</v>
      </c>
      <c r="E435">
        <v>3889.139893</v>
      </c>
      <c r="F435" s="289">
        <f t="shared" si="25"/>
        <v>-5.4673360296464413E-3</v>
      </c>
    </row>
    <row r="436" spans="2:6" hidden="1" outlineLevel="1" x14ac:dyDescent="0.25">
      <c r="B436" s="291">
        <v>44280</v>
      </c>
      <c r="C436">
        <v>77.889999000000003</v>
      </c>
      <c r="D436" s="289">
        <f t="shared" si="25"/>
        <v>1.5430372203819598E-3</v>
      </c>
      <c r="E436">
        <v>3909.5200199999999</v>
      </c>
      <c r="F436" s="289">
        <f t="shared" si="25"/>
        <v>5.2402658584438377E-3</v>
      </c>
    </row>
    <row r="437" spans="2:6" hidden="1" outlineLevel="1" x14ac:dyDescent="0.25">
      <c r="B437" s="291">
        <v>44281</v>
      </c>
      <c r="C437">
        <v>79.220000999999996</v>
      </c>
      <c r="D437" s="289">
        <f t="shared" si="25"/>
        <v>1.7075388587435958E-2</v>
      </c>
      <c r="E437">
        <v>3974.540039</v>
      </c>
      <c r="F437" s="289">
        <f t="shared" si="25"/>
        <v>1.6631202466639294E-2</v>
      </c>
    </row>
    <row r="438" spans="2:6" hidden="1" outlineLevel="1" x14ac:dyDescent="0.25">
      <c r="B438" s="291">
        <v>44284</v>
      </c>
      <c r="C438">
        <v>79.900002000000001</v>
      </c>
      <c r="D438" s="289">
        <f t="shared" si="25"/>
        <v>8.5837035018467844E-3</v>
      </c>
      <c r="E438">
        <v>3971.0900879999999</v>
      </c>
      <c r="F438" s="289">
        <f t="shared" si="25"/>
        <v>-8.6801264200320194E-4</v>
      </c>
    </row>
    <row r="439" spans="2:6" hidden="1" outlineLevel="1" x14ac:dyDescent="0.25">
      <c r="B439" s="291">
        <v>44285</v>
      </c>
      <c r="C439">
        <v>79.330001999999993</v>
      </c>
      <c r="D439" s="289">
        <f t="shared" si="25"/>
        <v>-7.1339172181749122E-3</v>
      </c>
      <c r="E439">
        <v>3958.5500489999999</v>
      </c>
      <c r="F439" s="289">
        <f t="shared" si="25"/>
        <v>-3.1578329179421383E-3</v>
      </c>
    </row>
    <row r="440" spans="2:6" hidden="1" outlineLevel="1" x14ac:dyDescent="0.25">
      <c r="B440" s="291">
        <v>44286</v>
      </c>
      <c r="C440">
        <v>78.830001999999993</v>
      </c>
      <c r="D440" s="289">
        <f t="shared" si="25"/>
        <v>-6.3027856724370279E-3</v>
      </c>
      <c r="E440">
        <v>3972.889893</v>
      </c>
      <c r="F440" s="289">
        <f t="shared" si="25"/>
        <v>3.6224991025748388E-3</v>
      </c>
    </row>
    <row r="441" spans="2:6" hidden="1" outlineLevel="1" x14ac:dyDescent="0.25">
      <c r="B441" s="291">
        <v>44287</v>
      </c>
      <c r="C441">
        <v>78.550003000000004</v>
      </c>
      <c r="D441" s="289">
        <f t="shared" si="25"/>
        <v>-3.5519344525702934E-3</v>
      </c>
      <c r="E441">
        <v>4019.8701169999999</v>
      </c>
      <c r="F441" s="289">
        <f t="shared" si="25"/>
        <v>1.1825201620305759E-2</v>
      </c>
    </row>
    <row r="442" spans="2:6" hidden="1" outlineLevel="1" x14ac:dyDescent="0.25">
      <c r="B442" s="291">
        <v>44291</v>
      </c>
      <c r="C442">
        <v>79.529999000000004</v>
      </c>
      <c r="D442" s="289">
        <f t="shared" si="25"/>
        <v>1.2476078454128237E-2</v>
      </c>
      <c r="E442">
        <v>4077.9099120000001</v>
      </c>
      <c r="F442" s="289">
        <f t="shared" si="25"/>
        <v>1.4438226437851975E-2</v>
      </c>
    </row>
    <row r="443" spans="2:6" hidden="1" outlineLevel="1" x14ac:dyDescent="0.25">
      <c r="B443" s="291">
        <v>44292</v>
      </c>
      <c r="C443">
        <v>79.860000999999997</v>
      </c>
      <c r="D443" s="289">
        <f t="shared" si="25"/>
        <v>4.1494027932780231E-3</v>
      </c>
      <c r="E443">
        <v>4073.9399410000001</v>
      </c>
      <c r="F443" s="289">
        <f t="shared" si="25"/>
        <v>-9.7353082477802388E-4</v>
      </c>
    </row>
    <row r="444" spans="2:6" hidden="1" outlineLevel="1" x14ac:dyDescent="0.25">
      <c r="B444" s="291">
        <v>44293</v>
      </c>
      <c r="C444">
        <v>79.620002999999997</v>
      </c>
      <c r="D444" s="289">
        <f t="shared" si="25"/>
        <v>-3.0052341221483703E-3</v>
      </c>
      <c r="E444">
        <v>4079.9499510000001</v>
      </c>
      <c r="F444" s="289">
        <f t="shared" si="25"/>
        <v>1.4752328426630434E-3</v>
      </c>
    </row>
    <row r="445" spans="2:6" hidden="1" outlineLevel="1" x14ac:dyDescent="0.25">
      <c r="B445" s="291">
        <v>44294</v>
      </c>
      <c r="C445">
        <v>79.639999000000003</v>
      </c>
      <c r="D445" s="289">
        <f t="shared" si="25"/>
        <v>2.5114291944960954E-4</v>
      </c>
      <c r="E445">
        <v>4097.169922</v>
      </c>
      <c r="F445" s="289">
        <f t="shared" si="25"/>
        <v>4.2206329015823663E-3</v>
      </c>
    </row>
    <row r="446" spans="2:6" hidden="1" outlineLevel="1" x14ac:dyDescent="0.25">
      <c r="B446" s="291">
        <v>44295</v>
      </c>
      <c r="C446">
        <v>79.779999000000004</v>
      </c>
      <c r="D446" s="289">
        <f t="shared" ref="D446:F461" si="26">C446/C445-1</f>
        <v>1.7579106197627148E-3</v>
      </c>
      <c r="E446">
        <v>4128.7998049999997</v>
      </c>
      <c r="F446" s="289">
        <f t="shared" si="26"/>
        <v>7.7199343942659926E-3</v>
      </c>
    </row>
    <row r="447" spans="2:6" hidden="1" outlineLevel="1" x14ac:dyDescent="0.25">
      <c r="B447" s="291">
        <v>44298</v>
      </c>
      <c r="C447">
        <v>80.160004000000001</v>
      </c>
      <c r="D447" s="289">
        <f t="shared" si="26"/>
        <v>4.7631612529852596E-3</v>
      </c>
      <c r="E447">
        <v>4127.9902339999999</v>
      </c>
      <c r="F447" s="289">
        <f t="shared" si="26"/>
        <v>-1.9607901526719207E-4</v>
      </c>
    </row>
    <row r="448" spans="2:6" hidden="1" outlineLevel="1" x14ac:dyDescent="0.25">
      <c r="B448" s="291">
        <v>44299</v>
      </c>
      <c r="C448">
        <v>79.730002999999996</v>
      </c>
      <c r="D448" s="289">
        <f t="shared" si="26"/>
        <v>-5.3642836644569591E-3</v>
      </c>
      <c r="E448">
        <v>4141.5898440000001</v>
      </c>
      <c r="F448" s="289">
        <f t="shared" si="26"/>
        <v>3.2944869607460792E-3</v>
      </c>
    </row>
    <row r="449" spans="2:6" hidden="1" outlineLevel="1" x14ac:dyDescent="0.25">
      <c r="B449" s="291">
        <v>44300</v>
      </c>
      <c r="C449">
        <v>79.400002000000001</v>
      </c>
      <c r="D449" s="289">
        <f t="shared" si="26"/>
        <v>-4.1389814070369457E-3</v>
      </c>
      <c r="E449">
        <v>4124.6601559999999</v>
      </c>
      <c r="F449" s="289">
        <f t="shared" si="26"/>
        <v>-4.0877268483083817E-3</v>
      </c>
    </row>
    <row r="450" spans="2:6" hidden="1" outlineLevel="1" x14ac:dyDescent="0.25">
      <c r="B450" s="291">
        <v>44301</v>
      </c>
      <c r="C450">
        <v>80.459998999999996</v>
      </c>
      <c r="D450" s="289">
        <f t="shared" si="26"/>
        <v>1.3350087824934853E-2</v>
      </c>
      <c r="E450">
        <v>4170.419922</v>
      </c>
      <c r="F450" s="289">
        <f t="shared" si="26"/>
        <v>1.1094190616755428E-2</v>
      </c>
    </row>
    <row r="451" spans="2:6" hidden="1" outlineLevel="1" x14ac:dyDescent="0.25">
      <c r="B451" s="291">
        <v>44302</v>
      </c>
      <c r="C451">
        <v>80.699996999999996</v>
      </c>
      <c r="D451" s="289">
        <f t="shared" si="26"/>
        <v>2.9828238004327989E-3</v>
      </c>
      <c r="E451">
        <v>4185.4702150000003</v>
      </c>
      <c r="F451" s="289">
        <f t="shared" si="26"/>
        <v>3.6088195628949382E-3</v>
      </c>
    </row>
    <row r="452" spans="2:6" hidden="1" outlineLevel="1" x14ac:dyDescent="0.25">
      <c r="B452" s="291">
        <v>44305</v>
      </c>
      <c r="C452">
        <v>80.370002999999997</v>
      </c>
      <c r="D452" s="289">
        <f t="shared" si="26"/>
        <v>-4.0891451334255091E-3</v>
      </c>
      <c r="E452">
        <v>4163.2597660000001</v>
      </c>
      <c r="F452" s="289">
        <f t="shared" si="26"/>
        <v>-5.3065600420239001E-3</v>
      </c>
    </row>
    <row r="453" spans="2:6" hidden="1" outlineLevel="1" x14ac:dyDescent="0.25">
      <c r="B453" s="291">
        <v>44306</v>
      </c>
      <c r="C453">
        <v>81.330001999999993</v>
      </c>
      <c r="D453" s="289">
        <f t="shared" si="26"/>
        <v>1.1944742617466364E-2</v>
      </c>
      <c r="E453">
        <v>4134.9399409999996</v>
      </c>
      <c r="F453" s="289">
        <f t="shared" si="26"/>
        <v>-6.8023199588167493E-3</v>
      </c>
    </row>
    <row r="454" spans="2:6" hidden="1" outlineLevel="1" x14ac:dyDescent="0.25">
      <c r="B454" s="291">
        <v>44307</v>
      </c>
      <c r="C454">
        <v>81.150002000000001</v>
      </c>
      <c r="D454" s="289">
        <f t="shared" si="26"/>
        <v>-2.2132054048147332E-3</v>
      </c>
      <c r="E454">
        <v>4173.419922</v>
      </c>
      <c r="F454" s="289">
        <f t="shared" si="26"/>
        <v>9.3060556015462925E-3</v>
      </c>
    </row>
    <row r="455" spans="2:6" hidden="1" outlineLevel="1" x14ac:dyDescent="0.25">
      <c r="B455" s="291">
        <v>44308</v>
      </c>
      <c r="C455">
        <v>81.050003000000004</v>
      </c>
      <c r="D455" s="289">
        <f t="shared" si="26"/>
        <v>-1.232273537097317E-3</v>
      </c>
      <c r="E455">
        <v>4134.9799800000001</v>
      </c>
      <c r="F455" s="289">
        <f t="shared" si="26"/>
        <v>-9.2106576185553291E-3</v>
      </c>
    </row>
    <row r="456" spans="2:6" hidden="1" outlineLevel="1" x14ac:dyDescent="0.25">
      <c r="B456" s="291">
        <v>44309</v>
      </c>
      <c r="C456">
        <v>79.790001000000004</v>
      </c>
      <c r="D456" s="289">
        <f t="shared" si="26"/>
        <v>-1.5545983385096274E-2</v>
      </c>
      <c r="E456">
        <v>4180.169922</v>
      </c>
      <c r="F456" s="289">
        <f t="shared" si="26"/>
        <v>1.0928696685007955E-2</v>
      </c>
    </row>
    <row r="457" spans="2:6" hidden="1" outlineLevel="1" x14ac:dyDescent="0.25">
      <c r="B457" s="291">
        <v>44312</v>
      </c>
      <c r="C457">
        <v>79.279999000000004</v>
      </c>
      <c r="D457" s="289">
        <f t="shared" si="26"/>
        <v>-6.39180340403811E-3</v>
      </c>
      <c r="E457">
        <v>4187.6201170000004</v>
      </c>
      <c r="F457" s="289">
        <f t="shared" si="26"/>
        <v>1.7822708499934947E-3</v>
      </c>
    </row>
    <row r="458" spans="2:6" hidden="1" outlineLevel="1" x14ac:dyDescent="0.25">
      <c r="B458" s="291">
        <v>44313</v>
      </c>
      <c r="C458">
        <v>78.559997999999993</v>
      </c>
      <c r="D458" s="289">
        <f t="shared" si="26"/>
        <v>-9.0817483486599349E-3</v>
      </c>
      <c r="E458">
        <v>4186.7202150000003</v>
      </c>
      <c r="F458" s="289">
        <f t="shared" si="26"/>
        <v>-2.1489580593681001E-4</v>
      </c>
    </row>
    <row r="459" spans="2:6" hidden="1" outlineLevel="1" x14ac:dyDescent="0.25">
      <c r="B459" s="291">
        <v>44314</v>
      </c>
      <c r="C459">
        <v>78.769997000000004</v>
      </c>
      <c r="D459" s="289">
        <f t="shared" si="26"/>
        <v>2.6731034285414346E-3</v>
      </c>
      <c r="E459">
        <v>4183.1801759999998</v>
      </c>
      <c r="F459" s="289">
        <f t="shared" si="26"/>
        <v>-8.4553990193025896E-4</v>
      </c>
    </row>
    <row r="460" spans="2:6" hidden="1" outlineLevel="1" x14ac:dyDescent="0.25">
      <c r="B460" s="291">
        <v>44315</v>
      </c>
      <c r="C460">
        <v>79.819999999999993</v>
      </c>
      <c r="D460" s="289">
        <f t="shared" si="26"/>
        <v>1.3329986542972572E-2</v>
      </c>
      <c r="E460">
        <v>4211.4702150000003</v>
      </c>
      <c r="F460" s="289">
        <f t="shared" si="26"/>
        <v>6.7628067187512908E-3</v>
      </c>
    </row>
    <row r="461" spans="2:6" hidden="1" outlineLevel="1" x14ac:dyDescent="0.25">
      <c r="B461" s="291">
        <v>44316</v>
      </c>
      <c r="C461">
        <v>80.699996999999996</v>
      </c>
      <c r="D461" s="289">
        <f t="shared" si="26"/>
        <v>1.1024768228514281E-2</v>
      </c>
      <c r="E461">
        <v>4181.169922</v>
      </c>
      <c r="F461" s="289">
        <f t="shared" si="26"/>
        <v>-7.1947067064797032E-3</v>
      </c>
    </row>
    <row r="462" spans="2:6" hidden="1" outlineLevel="1" x14ac:dyDescent="0.25">
      <c r="B462" s="291">
        <v>44319</v>
      </c>
      <c r="C462">
        <v>81.069999999999993</v>
      </c>
      <c r="D462" s="289">
        <f t="shared" ref="D462:F477" si="27">C462/C461-1</f>
        <v>4.5849196252139013E-3</v>
      </c>
      <c r="E462">
        <v>4192.6601559999999</v>
      </c>
      <c r="F462" s="289">
        <f t="shared" si="27"/>
        <v>2.7480906574837149E-3</v>
      </c>
    </row>
    <row r="463" spans="2:6" hidden="1" outlineLevel="1" x14ac:dyDescent="0.25">
      <c r="B463" s="291">
        <v>44320</v>
      </c>
      <c r="C463">
        <v>81.089995999999999</v>
      </c>
      <c r="D463" s="289">
        <f t="shared" si="27"/>
        <v>2.4665104230914281E-4</v>
      </c>
      <c r="E463">
        <v>4164.6601559999999</v>
      </c>
      <c r="F463" s="289">
        <f t="shared" si="27"/>
        <v>-6.678337608625351E-3</v>
      </c>
    </row>
    <row r="464" spans="2:6" hidden="1" outlineLevel="1" x14ac:dyDescent="0.25">
      <c r="B464" s="291">
        <v>44321</v>
      </c>
      <c r="C464">
        <v>81.319999999999993</v>
      </c>
      <c r="D464" s="289">
        <f t="shared" si="27"/>
        <v>2.8364041354742575E-3</v>
      </c>
      <c r="E464">
        <v>4167.5898440000001</v>
      </c>
      <c r="F464" s="289">
        <f t="shared" si="27"/>
        <v>7.034638818679273E-4</v>
      </c>
    </row>
    <row r="465" spans="2:6" hidden="1" outlineLevel="1" x14ac:dyDescent="0.25">
      <c r="B465" s="291">
        <v>44322</v>
      </c>
      <c r="C465">
        <v>82.309997999999993</v>
      </c>
      <c r="D465" s="289">
        <f t="shared" si="27"/>
        <v>1.2174102311854451E-2</v>
      </c>
      <c r="E465">
        <v>4201.6201170000004</v>
      </c>
      <c r="F465" s="289">
        <f t="shared" si="27"/>
        <v>8.1654563605852992E-3</v>
      </c>
    </row>
    <row r="466" spans="2:6" hidden="1" outlineLevel="1" x14ac:dyDescent="0.25">
      <c r="B466" s="291">
        <v>44323</v>
      </c>
      <c r="C466">
        <v>82.18</v>
      </c>
      <c r="D466" s="289">
        <f t="shared" si="27"/>
        <v>-1.5793707102262911E-3</v>
      </c>
      <c r="E466">
        <v>4232.6000979999999</v>
      </c>
      <c r="F466" s="289">
        <f t="shared" si="27"/>
        <v>7.3733417437364945E-3</v>
      </c>
    </row>
    <row r="467" spans="2:6" hidden="1" outlineLevel="1" x14ac:dyDescent="0.25">
      <c r="B467" s="291">
        <v>44326</v>
      </c>
      <c r="C467">
        <v>83.339995999999999</v>
      </c>
      <c r="D467" s="289">
        <f t="shared" si="27"/>
        <v>1.411530786079318E-2</v>
      </c>
      <c r="E467">
        <v>4188.4301759999998</v>
      </c>
      <c r="F467" s="289">
        <f t="shared" si="27"/>
        <v>-1.0435647350873323E-2</v>
      </c>
    </row>
    <row r="468" spans="2:6" hidden="1" outlineLevel="1" x14ac:dyDescent="0.25">
      <c r="B468" s="291">
        <v>44327</v>
      </c>
      <c r="C468">
        <v>82.440002000000007</v>
      </c>
      <c r="D468" s="289">
        <f t="shared" si="27"/>
        <v>-1.0799064593187579E-2</v>
      </c>
      <c r="E468">
        <v>4152.1000979999999</v>
      </c>
      <c r="F468" s="289">
        <f t="shared" si="27"/>
        <v>-8.6739127724210219E-3</v>
      </c>
    </row>
    <row r="469" spans="2:6" hidden="1" outlineLevel="1" x14ac:dyDescent="0.25">
      <c r="B469" s="291">
        <v>44328</v>
      </c>
      <c r="C469">
        <v>82.050003000000004</v>
      </c>
      <c r="D469" s="289">
        <f t="shared" si="27"/>
        <v>-4.7307010011959916E-3</v>
      </c>
      <c r="E469">
        <v>4063.040039</v>
      </c>
      <c r="F469" s="289">
        <f t="shared" si="27"/>
        <v>-2.1449400760569004E-2</v>
      </c>
    </row>
    <row r="470" spans="2:6" hidden="1" outlineLevel="1" x14ac:dyDescent="0.25">
      <c r="B470" s="291">
        <v>44329</v>
      </c>
      <c r="C470">
        <v>83.260002</v>
      </c>
      <c r="D470" s="289">
        <f t="shared" si="27"/>
        <v>1.4747092696632658E-2</v>
      </c>
      <c r="E470">
        <v>4112.5</v>
      </c>
      <c r="F470" s="289">
        <f t="shared" si="27"/>
        <v>1.2173141422493483E-2</v>
      </c>
    </row>
    <row r="471" spans="2:6" hidden="1" outlineLevel="1" x14ac:dyDescent="0.25">
      <c r="B471" s="291">
        <v>44330</v>
      </c>
      <c r="C471">
        <v>83.559997999999993</v>
      </c>
      <c r="D471" s="289">
        <f t="shared" si="27"/>
        <v>3.6031226614670064E-3</v>
      </c>
      <c r="E471">
        <v>4173.8500979999999</v>
      </c>
      <c r="F471" s="289">
        <f t="shared" si="27"/>
        <v>1.4917956960486256E-2</v>
      </c>
    </row>
    <row r="472" spans="2:6" hidden="1" outlineLevel="1" x14ac:dyDescent="0.25">
      <c r="B472" s="291">
        <v>44333</v>
      </c>
      <c r="C472">
        <v>83.550003000000004</v>
      </c>
      <c r="D472" s="289">
        <f t="shared" si="27"/>
        <v>-1.1961465101983926E-4</v>
      </c>
      <c r="E472">
        <v>4163.2900390000004</v>
      </c>
      <c r="F472" s="289">
        <f t="shared" si="27"/>
        <v>-2.5300522903445311E-3</v>
      </c>
    </row>
    <row r="473" spans="2:6" hidden="1" outlineLevel="1" x14ac:dyDescent="0.25">
      <c r="B473" s="291">
        <v>44334</v>
      </c>
      <c r="C473">
        <v>83.110000999999997</v>
      </c>
      <c r="D473" s="289">
        <f t="shared" si="27"/>
        <v>-5.2663313489049735E-3</v>
      </c>
      <c r="E473">
        <v>4127.830078</v>
      </c>
      <c r="F473" s="289">
        <f t="shared" si="27"/>
        <v>-8.5172929745047643E-3</v>
      </c>
    </row>
    <row r="474" spans="2:6" hidden="1" outlineLevel="1" x14ac:dyDescent="0.25">
      <c r="B474" s="291">
        <v>44335</v>
      </c>
      <c r="C474">
        <v>83.209998999999996</v>
      </c>
      <c r="D474" s="289">
        <f t="shared" si="27"/>
        <v>1.203200563070661E-3</v>
      </c>
      <c r="E474">
        <v>4115.6801759999998</v>
      </c>
      <c r="F474" s="289">
        <f t="shared" si="27"/>
        <v>-2.9434113736307443E-3</v>
      </c>
    </row>
    <row r="475" spans="2:6" hidden="1" outlineLevel="1" x14ac:dyDescent="0.25">
      <c r="B475" s="291">
        <v>44336</v>
      </c>
      <c r="C475">
        <v>84.089995999999999</v>
      </c>
      <c r="D475" s="289">
        <f t="shared" si="27"/>
        <v>1.0575616038644542E-2</v>
      </c>
      <c r="E475">
        <v>4159.1201170000004</v>
      </c>
      <c r="F475" s="289">
        <f t="shared" si="27"/>
        <v>1.0554741656874755E-2</v>
      </c>
    </row>
    <row r="476" spans="2:6" hidden="1" outlineLevel="1" x14ac:dyDescent="0.25">
      <c r="B476" s="291">
        <v>44337</v>
      </c>
      <c r="C476">
        <v>84.230002999999996</v>
      </c>
      <c r="D476" s="289">
        <f t="shared" si="27"/>
        <v>1.6649661869410082E-3</v>
      </c>
      <c r="E476">
        <v>4155.8598629999997</v>
      </c>
      <c r="F476" s="289">
        <f t="shared" si="27"/>
        <v>-7.8388070271750987E-4</v>
      </c>
    </row>
    <row r="477" spans="2:6" hidden="1" outlineLevel="1" x14ac:dyDescent="0.25">
      <c r="B477" s="291">
        <v>44340</v>
      </c>
      <c r="C477">
        <v>84.400002000000001</v>
      </c>
      <c r="D477" s="289">
        <f t="shared" si="27"/>
        <v>2.0182713278544817E-3</v>
      </c>
      <c r="E477">
        <v>4197.0498049999997</v>
      </c>
      <c r="F477" s="289">
        <f t="shared" si="27"/>
        <v>9.911292333679933E-3</v>
      </c>
    </row>
    <row r="478" spans="2:6" hidden="1" outlineLevel="1" x14ac:dyDescent="0.25">
      <c r="B478" s="291">
        <v>44341</v>
      </c>
      <c r="C478">
        <v>84.589995999999999</v>
      </c>
      <c r="D478" s="289">
        <f t="shared" ref="D478:F493" si="28">C478/C477-1</f>
        <v>2.2511136907319429E-3</v>
      </c>
      <c r="E478">
        <v>4188.1298829999996</v>
      </c>
      <c r="F478" s="289">
        <f t="shared" si="28"/>
        <v>-2.1252838099213855E-3</v>
      </c>
    </row>
    <row r="479" spans="2:6" hidden="1" outlineLevel="1" x14ac:dyDescent="0.25">
      <c r="B479" s="291">
        <v>44342</v>
      </c>
      <c r="C479">
        <v>84.43</v>
      </c>
      <c r="D479" s="289">
        <f t="shared" si="28"/>
        <v>-1.8914293363956336E-3</v>
      </c>
      <c r="E479">
        <v>4195.9902339999999</v>
      </c>
      <c r="F479" s="289">
        <f t="shared" si="28"/>
        <v>1.8768164358766715E-3</v>
      </c>
    </row>
    <row r="480" spans="2:6" hidden="1" outlineLevel="1" x14ac:dyDescent="0.25">
      <c r="B480" s="291">
        <v>44343</v>
      </c>
      <c r="C480">
        <v>83.690002000000007</v>
      </c>
      <c r="D480" s="289">
        <f t="shared" si="28"/>
        <v>-8.7646334241383572E-3</v>
      </c>
      <c r="E480">
        <v>4200.8798829999996</v>
      </c>
      <c r="F480" s="289">
        <f t="shared" si="28"/>
        <v>1.165314675992013E-3</v>
      </c>
    </row>
    <row r="481" spans="2:6" hidden="1" outlineLevel="1" x14ac:dyDescent="0.25">
      <c r="B481" s="291">
        <v>44344</v>
      </c>
      <c r="C481">
        <v>83.779999000000004</v>
      </c>
      <c r="D481" s="289">
        <f t="shared" si="28"/>
        <v>1.0753614272824841E-3</v>
      </c>
      <c r="E481">
        <v>4204.1098629999997</v>
      </c>
      <c r="F481" s="289">
        <f t="shared" si="28"/>
        <v>7.6888177952216807E-4</v>
      </c>
    </row>
    <row r="482" spans="2:6" hidden="1" outlineLevel="1" x14ac:dyDescent="0.25">
      <c r="B482" s="291">
        <v>44348</v>
      </c>
      <c r="C482">
        <v>82.480002999999996</v>
      </c>
      <c r="D482" s="289">
        <f t="shared" si="28"/>
        <v>-1.5516782233430337E-2</v>
      </c>
      <c r="E482">
        <v>4202.0400390000004</v>
      </c>
      <c r="F482" s="289">
        <f t="shared" si="28"/>
        <v>-4.923334706867788E-4</v>
      </c>
    </row>
    <row r="483" spans="2:6" hidden="1" outlineLevel="1" x14ac:dyDescent="0.25">
      <c r="B483" s="291">
        <v>44349</v>
      </c>
      <c r="C483">
        <v>82.879997000000003</v>
      </c>
      <c r="D483" s="289">
        <f t="shared" si="28"/>
        <v>4.8495876024641227E-3</v>
      </c>
      <c r="E483">
        <v>4208.1201170000004</v>
      </c>
      <c r="F483" s="289">
        <f t="shared" si="28"/>
        <v>1.4469348087047251E-3</v>
      </c>
    </row>
    <row r="484" spans="2:6" hidden="1" outlineLevel="1" x14ac:dyDescent="0.25">
      <c r="B484" s="291">
        <v>44350</v>
      </c>
      <c r="C484">
        <v>83.949996999999996</v>
      </c>
      <c r="D484" s="289">
        <f t="shared" si="28"/>
        <v>1.2910232127542054E-2</v>
      </c>
      <c r="E484">
        <v>4192.8500979999999</v>
      </c>
      <c r="F484" s="289">
        <f t="shared" si="28"/>
        <v>-3.6287032155551957E-3</v>
      </c>
    </row>
    <row r="485" spans="2:6" hidden="1" outlineLevel="1" x14ac:dyDescent="0.25">
      <c r="B485" s="291">
        <v>44351</v>
      </c>
      <c r="C485">
        <v>83.970000999999996</v>
      </c>
      <c r="D485" s="289">
        <f t="shared" si="28"/>
        <v>2.382847017849965E-4</v>
      </c>
      <c r="E485">
        <v>4229.8901370000003</v>
      </c>
      <c r="F485" s="289">
        <f t="shared" si="28"/>
        <v>8.8340956948755878E-3</v>
      </c>
    </row>
    <row r="486" spans="2:6" hidden="1" outlineLevel="1" x14ac:dyDescent="0.25">
      <c r="B486" s="291">
        <v>44354</v>
      </c>
      <c r="C486">
        <v>83.900002000000001</v>
      </c>
      <c r="D486" s="289">
        <f t="shared" si="28"/>
        <v>-8.3361913976864876E-4</v>
      </c>
      <c r="E486">
        <v>4226.5200199999999</v>
      </c>
      <c r="F486" s="289">
        <f t="shared" si="28"/>
        <v>-7.9673866007090588E-4</v>
      </c>
    </row>
    <row r="487" spans="2:6" hidden="1" outlineLevel="1" x14ac:dyDescent="0.25">
      <c r="B487" s="291">
        <v>44355</v>
      </c>
      <c r="C487">
        <v>82.93</v>
      </c>
      <c r="D487" s="289">
        <f t="shared" si="28"/>
        <v>-1.1561406160633836E-2</v>
      </c>
      <c r="E487">
        <v>4227.2597660000001</v>
      </c>
      <c r="F487" s="289">
        <f t="shared" si="28"/>
        <v>1.7502484230513815E-4</v>
      </c>
    </row>
    <row r="488" spans="2:6" hidden="1" outlineLevel="1" x14ac:dyDescent="0.25">
      <c r="B488" s="291">
        <v>44356</v>
      </c>
      <c r="C488">
        <v>82.559997999999993</v>
      </c>
      <c r="D488" s="289">
        <f t="shared" si="28"/>
        <v>-4.4616182322442244E-3</v>
      </c>
      <c r="E488">
        <v>4219.5498049999997</v>
      </c>
      <c r="F488" s="289">
        <f t="shared" si="28"/>
        <v>-1.8238673341089973E-3</v>
      </c>
    </row>
    <row r="489" spans="2:6" hidden="1" outlineLevel="1" x14ac:dyDescent="0.25">
      <c r="B489" s="291">
        <v>44357</v>
      </c>
      <c r="C489">
        <v>83.599997999999999</v>
      </c>
      <c r="D489" s="289">
        <f t="shared" si="28"/>
        <v>1.2596899529963679E-2</v>
      </c>
      <c r="E489">
        <v>4239.1801759999998</v>
      </c>
      <c r="F489" s="289">
        <f t="shared" si="28"/>
        <v>4.6522429896997952E-3</v>
      </c>
    </row>
    <row r="490" spans="2:6" hidden="1" outlineLevel="1" x14ac:dyDescent="0.25">
      <c r="B490" s="291">
        <v>44358</v>
      </c>
      <c r="C490">
        <v>83.629997000000003</v>
      </c>
      <c r="D490" s="289">
        <f t="shared" si="28"/>
        <v>3.5883972150330123E-4</v>
      </c>
      <c r="E490">
        <v>4247.4399409999996</v>
      </c>
      <c r="F490" s="289">
        <f t="shared" si="28"/>
        <v>1.9484345220244226E-3</v>
      </c>
    </row>
    <row r="491" spans="2:6" hidden="1" outlineLevel="1" x14ac:dyDescent="0.25">
      <c r="B491" s="291">
        <v>44361</v>
      </c>
      <c r="C491">
        <v>83.410004000000001</v>
      </c>
      <c r="D491" s="289">
        <f t="shared" si="28"/>
        <v>-2.6305513319581086E-3</v>
      </c>
      <c r="E491">
        <v>4255.1499020000001</v>
      </c>
      <c r="F491" s="289">
        <f t="shared" si="28"/>
        <v>1.8152018879837861E-3</v>
      </c>
    </row>
    <row r="492" spans="2:6" hidden="1" outlineLevel="1" x14ac:dyDescent="0.25">
      <c r="B492" s="291">
        <v>44362</v>
      </c>
      <c r="C492">
        <v>83.269997000000004</v>
      </c>
      <c r="D492" s="289">
        <f t="shared" si="28"/>
        <v>-1.6785396629401816E-3</v>
      </c>
      <c r="E492">
        <v>4246.5898440000001</v>
      </c>
      <c r="F492" s="289">
        <f t="shared" si="28"/>
        <v>-2.0116936411515018E-3</v>
      </c>
    </row>
    <row r="493" spans="2:6" hidden="1" outlineLevel="1" x14ac:dyDescent="0.25">
      <c r="B493" s="291">
        <v>44363</v>
      </c>
      <c r="C493">
        <v>81.949996999999996</v>
      </c>
      <c r="D493" s="289">
        <f t="shared" si="28"/>
        <v>-1.5852048127250495E-2</v>
      </c>
      <c r="E493">
        <v>4223.7001950000003</v>
      </c>
      <c r="F493" s="289">
        <f t="shared" si="28"/>
        <v>-5.3901247449975598E-3</v>
      </c>
    </row>
    <row r="494" spans="2:6" hidden="1" outlineLevel="1" x14ac:dyDescent="0.25">
      <c r="B494" s="291">
        <v>44364</v>
      </c>
      <c r="C494">
        <v>82.43</v>
      </c>
      <c r="D494" s="289">
        <f t="shared" ref="D494:F509" si="29">C494/C493-1</f>
        <v>5.857266840412656E-3</v>
      </c>
      <c r="E494">
        <v>4221.8598629999997</v>
      </c>
      <c r="F494" s="289">
        <f t="shared" si="29"/>
        <v>-4.3571558468546989E-4</v>
      </c>
    </row>
    <row r="495" spans="2:6" hidden="1" outlineLevel="1" x14ac:dyDescent="0.25">
      <c r="B495" s="291">
        <v>44365</v>
      </c>
      <c r="C495">
        <v>81.019997000000004</v>
      </c>
      <c r="D495" s="289">
        <f t="shared" si="29"/>
        <v>-1.7105459177483961E-2</v>
      </c>
      <c r="E495">
        <v>4166.4501950000003</v>
      </c>
      <c r="F495" s="289">
        <f t="shared" si="29"/>
        <v>-1.3124468788176635E-2</v>
      </c>
    </row>
    <row r="496" spans="2:6" hidden="1" outlineLevel="1" x14ac:dyDescent="0.25">
      <c r="B496" s="291">
        <v>44368</v>
      </c>
      <c r="C496">
        <v>81.440002000000007</v>
      </c>
      <c r="D496" s="289">
        <f t="shared" si="29"/>
        <v>5.1839671136990617E-3</v>
      </c>
      <c r="E496">
        <v>4224.7900390000004</v>
      </c>
      <c r="F496" s="289">
        <f t="shared" si="29"/>
        <v>1.4002290023774178E-2</v>
      </c>
    </row>
    <row r="497" spans="2:6" hidden="1" outlineLevel="1" x14ac:dyDescent="0.25">
      <c r="B497" s="291">
        <v>44369</v>
      </c>
      <c r="C497">
        <v>81.290001000000004</v>
      </c>
      <c r="D497" s="289">
        <f t="shared" si="29"/>
        <v>-1.8418589920958794E-3</v>
      </c>
      <c r="E497">
        <v>4246.4399409999996</v>
      </c>
      <c r="F497" s="289">
        <f t="shared" si="29"/>
        <v>5.1244918209292223E-3</v>
      </c>
    </row>
    <row r="498" spans="2:6" hidden="1" outlineLevel="1" x14ac:dyDescent="0.25">
      <c r="B498" s="291">
        <v>44370</v>
      </c>
      <c r="C498">
        <v>80.25</v>
      </c>
      <c r="D498" s="289">
        <f t="shared" si="29"/>
        <v>-1.279371370656035E-2</v>
      </c>
      <c r="E498">
        <v>4241.8398440000001</v>
      </c>
      <c r="F498" s="289">
        <f t="shared" si="29"/>
        <v>-1.0832831887211958E-3</v>
      </c>
    </row>
    <row r="499" spans="2:6" hidden="1" outlineLevel="1" x14ac:dyDescent="0.25">
      <c r="B499" s="291">
        <v>44371</v>
      </c>
      <c r="C499">
        <v>80.559997999999993</v>
      </c>
      <c r="D499" s="289">
        <f t="shared" si="29"/>
        <v>3.8629034267911866E-3</v>
      </c>
      <c r="E499">
        <v>4266.4902339999999</v>
      </c>
      <c r="F499" s="289">
        <f t="shared" si="29"/>
        <v>5.8112495772011385E-3</v>
      </c>
    </row>
    <row r="500" spans="2:6" hidden="1" outlineLevel="1" x14ac:dyDescent="0.25">
      <c r="B500" s="291">
        <v>44372</v>
      </c>
      <c r="C500">
        <v>81.459998999999996</v>
      </c>
      <c r="D500" s="289">
        <f t="shared" si="29"/>
        <v>1.1171810108535629E-2</v>
      </c>
      <c r="E500">
        <v>4280.7001950000003</v>
      </c>
      <c r="F500" s="289">
        <f t="shared" si="29"/>
        <v>3.330597334258556E-3</v>
      </c>
    </row>
    <row r="501" spans="2:6" hidden="1" outlineLevel="1" x14ac:dyDescent="0.25">
      <c r="B501" s="291">
        <v>44375</v>
      </c>
      <c r="C501">
        <v>81.720000999999996</v>
      </c>
      <c r="D501" s="289">
        <f t="shared" si="29"/>
        <v>3.191775143527753E-3</v>
      </c>
      <c r="E501">
        <v>4290.6098629999997</v>
      </c>
      <c r="F501" s="289">
        <f t="shared" si="29"/>
        <v>2.3149642695310391E-3</v>
      </c>
    </row>
    <row r="502" spans="2:6" hidden="1" outlineLevel="1" x14ac:dyDescent="0.25">
      <c r="B502" s="291">
        <v>44376</v>
      </c>
      <c r="C502">
        <v>81.25</v>
      </c>
      <c r="D502" s="289">
        <f t="shared" si="29"/>
        <v>-5.7513582262437302E-3</v>
      </c>
      <c r="E502">
        <v>4291.7998049999997</v>
      </c>
      <c r="F502" s="289">
        <f t="shared" si="29"/>
        <v>2.7733633166260319E-4</v>
      </c>
    </row>
    <row r="503" spans="2:6" hidden="1" outlineLevel="1" x14ac:dyDescent="0.25">
      <c r="B503" s="291">
        <v>44377</v>
      </c>
      <c r="C503">
        <v>81.349997999999999</v>
      </c>
      <c r="D503" s="289">
        <f t="shared" si="29"/>
        <v>1.230744615384527E-3</v>
      </c>
      <c r="E503">
        <v>4297.5</v>
      </c>
      <c r="F503" s="289">
        <f t="shared" si="29"/>
        <v>1.3281595738365848E-3</v>
      </c>
    </row>
    <row r="504" spans="2:6" hidden="1" outlineLevel="1" x14ac:dyDescent="0.25">
      <c r="B504" s="291">
        <v>44378</v>
      </c>
      <c r="C504">
        <v>81.739998</v>
      </c>
      <c r="D504" s="289">
        <f t="shared" si="29"/>
        <v>4.7940996876238984E-3</v>
      </c>
      <c r="E504">
        <v>4319.9399409999996</v>
      </c>
      <c r="F504" s="289">
        <f t="shared" si="29"/>
        <v>5.2216267597440247E-3</v>
      </c>
    </row>
    <row r="505" spans="2:6" hidden="1" outlineLevel="1" x14ac:dyDescent="0.25">
      <c r="B505" s="291">
        <v>44379</v>
      </c>
      <c r="C505">
        <v>81.699996999999996</v>
      </c>
      <c r="D505" s="289">
        <f t="shared" si="29"/>
        <v>-4.8936874209370984E-4</v>
      </c>
      <c r="E505">
        <v>4352.3398440000001</v>
      </c>
      <c r="F505" s="289">
        <f t="shared" si="29"/>
        <v>7.5000818165311678E-3</v>
      </c>
    </row>
    <row r="506" spans="2:6" hidden="1" outlineLevel="1" x14ac:dyDescent="0.25">
      <c r="B506" s="291">
        <v>44383</v>
      </c>
      <c r="C506">
        <v>81.970000999999996</v>
      </c>
      <c r="D506" s="289">
        <f t="shared" si="29"/>
        <v>3.3048226427718763E-3</v>
      </c>
      <c r="E506">
        <v>4343.5400390000004</v>
      </c>
      <c r="F506" s="289">
        <f t="shared" si="29"/>
        <v>-2.0218561315084038E-3</v>
      </c>
    </row>
    <row r="507" spans="2:6" hidden="1" outlineLevel="1" x14ac:dyDescent="0.25">
      <c r="B507" s="291">
        <v>44384</v>
      </c>
      <c r="C507">
        <v>82.660004000000001</v>
      </c>
      <c r="D507" s="289">
        <f t="shared" si="29"/>
        <v>8.4177502937934356E-3</v>
      </c>
      <c r="E507">
        <v>4358.1298829999996</v>
      </c>
      <c r="F507" s="289">
        <f t="shared" si="29"/>
        <v>3.3589753677873979E-3</v>
      </c>
    </row>
    <row r="508" spans="2:6" hidden="1" outlineLevel="1" x14ac:dyDescent="0.25">
      <c r="B508" s="291">
        <v>44385</v>
      </c>
      <c r="C508">
        <v>82.339995999999999</v>
      </c>
      <c r="D508" s="289">
        <f t="shared" si="29"/>
        <v>-3.8713765365895325E-3</v>
      </c>
      <c r="E508">
        <v>4320.8198240000002</v>
      </c>
      <c r="F508" s="289">
        <f t="shared" si="29"/>
        <v>-8.5610250271651589E-3</v>
      </c>
    </row>
    <row r="509" spans="2:6" hidden="1" outlineLevel="1" x14ac:dyDescent="0.25">
      <c r="B509" s="291">
        <v>44386</v>
      </c>
      <c r="C509">
        <v>82.43</v>
      </c>
      <c r="D509" s="289">
        <f t="shared" si="29"/>
        <v>1.0930775367052892E-3</v>
      </c>
      <c r="E509">
        <v>4369.5498049999997</v>
      </c>
      <c r="F509" s="289">
        <f t="shared" si="29"/>
        <v>1.1277947932317955E-2</v>
      </c>
    </row>
    <row r="510" spans="2:6" hidden="1" outlineLevel="1" x14ac:dyDescent="0.25">
      <c r="B510" s="291">
        <v>44389</v>
      </c>
      <c r="C510">
        <v>82.93</v>
      </c>
      <c r="D510" s="289">
        <f t="shared" ref="D510:F525" si="30">C510/C509-1</f>
        <v>6.0657527599174976E-3</v>
      </c>
      <c r="E510">
        <v>4384.6298829999996</v>
      </c>
      <c r="F510" s="289">
        <f t="shared" si="30"/>
        <v>3.4511743023832864E-3</v>
      </c>
    </row>
    <row r="511" spans="2:6" hidden="1" outlineLevel="1" x14ac:dyDescent="0.25">
      <c r="B511" s="291">
        <v>44390</v>
      </c>
      <c r="C511">
        <v>82.639999000000003</v>
      </c>
      <c r="D511" s="289">
        <f t="shared" si="30"/>
        <v>-3.4969371759315804E-3</v>
      </c>
      <c r="E511">
        <v>4369.2099609999996</v>
      </c>
      <c r="F511" s="289">
        <f t="shared" si="30"/>
        <v>-3.5168126869239424E-3</v>
      </c>
    </row>
    <row r="512" spans="2:6" hidden="1" outlineLevel="1" x14ac:dyDescent="0.25">
      <c r="B512" s="291">
        <v>44391</v>
      </c>
      <c r="C512">
        <v>83.230002999999996</v>
      </c>
      <c r="D512" s="289">
        <f t="shared" si="30"/>
        <v>7.1394482954918459E-3</v>
      </c>
      <c r="E512">
        <v>4374.2998049999997</v>
      </c>
      <c r="F512" s="289">
        <f t="shared" si="30"/>
        <v>1.1649346324467125E-3</v>
      </c>
    </row>
    <row r="513" spans="2:6" hidden="1" outlineLevel="1" x14ac:dyDescent="0.25">
      <c r="B513" s="291">
        <v>44392</v>
      </c>
      <c r="C513">
        <v>83.629997000000003</v>
      </c>
      <c r="D513" s="289">
        <f t="shared" si="30"/>
        <v>4.8058871270255654E-3</v>
      </c>
      <c r="E513">
        <v>4360.0297849999997</v>
      </c>
      <c r="F513" s="289">
        <f t="shared" si="30"/>
        <v>-3.2622409610993941E-3</v>
      </c>
    </row>
    <row r="514" spans="2:6" hidden="1" outlineLevel="1" x14ac:dyDescent="0.25">
      <c r="B514" s="291">
        <v>44393</v>
      </c>
      <c r="C514">
        <v>84.389999000000003</v>
      </c>
      <c r="D514" s="289">
        <f t="shared" si="30"/>
        <v>9.0876722140740274E-3</v>
      </c>
      <c r="E514">
        <v>4327.1601559999999</v>
      </c>
      <c r="F514" s="289">
        <f t="shared" si="30"/>
        <v>-7.5388542328500563E-3</v>
      </c>
    </row>
    <row r="515" spans="2:6" hidden="1" outlineLevel="1" x14ac:dyDescent="0.25">
      <c r="B515" s="291">
        <v>44396</v>
      </c>
      <c r="C515">
        <v>83.970000999999996</v>
      </c>
      <c r="D515" s="289">
        <f t="shared" si="30"/>
        <v>-4.9768693562848298E-3</v>
      </c>
      <c r="E515">
        <v>4258.4902339999999</v>
      </c>
      <c r="F515" s="289">
        <f t="shared" si="30"/>
        <v>-1.5869512457213575E-2</v>
      </c>
    </row>
    <row r="516" spans="2:6" hidden="1" outlineLevel="1" x14ac:dyDescent="0.25">
      <c r="B516" s="291">
        <v>44397</v>
      </c>
      <c r="C516">
        <v>82.690002000000007</v>
      </c>
      <c r="D516" s="289">
        <f t="shared" si="30"/>
        <v>-1.5243527268744339E-2</v>
      </c>
      <c r="E516">
        <v>4323.0600590000004</v>
      </c>
      <c r="F516" s="289">
        <f t="shared" si="30"/>
        <v>1.5162609622647816E-2</v>
      </c>
    </row>
    <row r="517" spans="2:6" hidden="1" outlineLevel="1" x14ac:dyDescent="0.25">
      <c r="B517" s="291">
        <v>44398</v>
      </c>
      <c r="C517">
        <v>82.18</v>
      </c>
      <c r="D517" s="289">
        <f t="shared" si="30"/>
        <v>-6.167638017471555E-3</v>
      </c>
      <c r="E517">
        <v>4358.6899409999996</v>
      </c>
      <c r="F517" s="289">
        <f t="shared" si="30"/>
        <v>8.2418198021152467E-3</v>
      </c>
    </row>
    <row r="518" spans="2:6" hidden="1" outlineLevel="1" x14ac:dyDescent="0.25">
      <c r="B518" s="291">
        <v>44399</v>
      </c>
      <c r="C518">
        <v>81.839995999999999</v>
      </c>
      <c r="D518" s="289">
        <f t="shared" si="30"/>
        <v>-4.1373083475299E-3</v>
      </c>
      <c r="E518">
        <v>4367.4799800000001</v>
      </c>
      <c r="F518" s="289">
        <f t="shared" si="30"/>
        <v>2.0166699441768188E-3</v>
      </c>
    </row>
    <row r="519" spans="2:6" hidden="1" outlineLevel="1" x14ac:dyDescent="0.25">
      <c r="B519" s="291">
        <v>44400</v>
      </c>
      <c r="C519">
        <v>83.279999000000004</v>
      </c>
      <c r="D519" s="289">
        <f t="shared" si="30"/>
        <v>1.7595345434767706E-2</v>
      </c>
      <c r="E519">
        <v>4411.7900390000004</v>
      </c>
      <c r="F519" s="289">
        <f t="shared" si="30"/>
        <v>1.0145452114928899E-2</v>
      </c>
    </row>
    <row r="520" spans="2:6" hidden="1" outlineLevel="1" x14ac:dyDescent="0.25">
      <c r="B520" s="291">
        <v>44403</v>
      </c>
      <c r="C520">
        <v>84.089995999999999</v>
      </c>
      <c r="D520" s="289">
        <f t="shared" si="30"/>
        <v>9.7261888775959093E-3</v>
      </c>
      <c r="E520">
        <v>4422.2998049999997</v>
      </c>
      <c r="F520" s="289">
        <f t="shared" si="30"/>
        <v>2.3821999476614231E-3</v>
      </c>
    </row>
    <row r="521" spans="2:6" hidden="1" outlineLevel="1" x14ac:dyDescent="0.25">
      <c r="B521" s="291">
        <v>44404</v>
      </c>
      <c r="C521">
        <v>83.949996999999996</v>
      </c>
      <c r="D521" s="289">
        <f t="shared" si="30"/>
        <v>-1.6648710507728426E-3</v>
      </c>
      <c r="E521">
        <v>4401.4599609999996</v>
      </c>
      <c r="F521" s="289">
        <f t="shared" si="30"/>
        <v>-4.7124448632899218E-3</v>
      </c>
    </row>
    <row r="522" spans="2:6" hidden="1" outlineLevel="1" x14ac:dyDescent="0.25">
      <c r="B522" s="291">
        <v>44405</v>
      </c>
      <c r="C522">
        <v>83.18</v>
      </c>
      <c r="D522" s="289">
        <f t="shared" si="30"/>
        <v>-9.1720908578470928E-3</v>
      </c>
      <c r="E522">
        <v>4400.6401370000003</v>
      </c>
      <c r="F522" s="289">
        <f t="shared" si="30"/>
        <v>-1.8626183295167298E-4</v>
      </c>
    </row>
    <row r="523" spans="2:6" hidden="1" outlineLevel="1" x14ac:dyDescent="0.25">
      <c r="B523" s="291">
        <v>44406</v>
      </c>
      <c r="C523">
        <v>83.519997000000004</v>
      </c>
      <c r="D523" s="289">
        <f t="shared" si="30"/>
        <v>4.0874849723491202E-3</v>
      </c>
      <c r="E523">
        <v>4419.1499020000001</v>
      </c>
      <c r="F523" s="289">
        <f t="shared" si="30"/>
        <v>4.2061528377137503E-3</v>
      </c>
    </row>
    <row r="524" spans="2:6" hidden="1" outlineLevel="1" x14ac:dyDescent="0.25">
      <c r="B524" s="291">
        <v>44407</v>
      </c>
      <c r="C524">
        <v>79.5</v>
      </c>
      <c r="D524" s="289">
        <f t="shared" si="30"/>
        <v>-4.8132149717390438E-2</v>
      </c>
      <c r="E524">
        <v>4395.2597660000001</v>
      </c>
      <c r="F524" s="289">
        <f t="shared" si="30"/>
        <v>-5.4060478892530295E-3</v>
      </c>
    </row>
    <row r="525" spans="2:6" hidden="1" outlineLevel="1" x14ac:dyDescent="0.25">
      <c r="B525" s="291">
        <v>44410</v>
      </c>
      <c r="C525">
        <v>79.540001000000004</v>
      </c>
      <c r="D525" s="289">
        <f t="shared" si="30"/>
        <v>5.0315723270455415E-4</v>
      </c>
      <c r="E525">
        <v>4387.1601559999999</v>
      </c>
      <c r="F525" s="289">
        <f t="shared" si="30"/>
        <v>-1.8428057569328526E-3</v>
      </c>
    </row>
    <row r="526" spans="2:6" hidden="1" outlineLevel="1" x14ac:dyDescent="0.25">
      <c r="B526" s="291">
        <v>44411</v>
      </c>
      <c r="C526">
        <v>79.419998000000007</v>
      </c>
      <c r="D526" s="289">
        <f t="shared" ref="D526:F541" si="31">C526/C525-1</f>
        <v>-1.5087125784671862E-3</v>
      </c>
      <c r="E526">
        <v>4423.1499020000001</v>
      </c>
      <c r="F526" s="289">
        <f t="shared" si="31"/>
        <v>8.2034265265606976E-3</v>
      </c>
    </row>
    <row r="527" spans="2:6" hidden="1" outlineLevel="1" x14ac:dyDescent="0.25">
      <c r="B527" s="291">
        <v>44412</v>
      </c>
      <c r="C527">
        <v>78.25</v>
      </c>
      <c r="D527" s="289">
        <f t="shared" si="31"/>
        <v>-1.4731780778941883E-2</v>
      </c>
      <c r="E527">
        <v>4402.6601559999999</v>
      </c>
      <c r="F527" s="289">
        <f t="shared" si="31"/>
        <v>-4.6323878805769603E-3</v>
      </c>
    </row>
    <row r="528" spans="2:6" hidden="1" outlineLevel="1" x14ac:dyDescent="0.25">
      <c r="B528" s="291">
        <v>44413</v>
      </c>
      <c r="C528">
        <v>78.900002000000001</v>
      </c>
      <c r="D528" s="289">
        <f t="shared" si="31"/>
        <v>8.3067348242811256E-3</v>
      </c>
      <c r="E528">
        <v>4429.1000979999999</v>
      </c>
      <c r="F528" s="289">
        <f t="shared" si="31"/>
        <v>6.0054469486969797E-3</v>
      </c>
    </row>
    <row r="529" spans="2:6" hidden="1" outlineLevel="1" x14ac:dyDescent="0.25">
      <c r="B529" s="291">
        <v>44414</v>
      </c>
      <c r="C529">
        <v>78.629997000000003</v>
      </c>
      <c r="D529" s="289">
        <f t="shared" si="31"/>
        <v>-3.422116516549667E-3</v>
      </c>
      <c r="E529">
        <v>4436.5200199999999</v>
      </c>
      <c r="F529" s="289">
        <f t="shared" si="31"/>
        <v>1.6752662698571452E-3</v>
      </c>
    </row>
    <row r="530" spans="2:6" hidden="1" outlineLevel="1" x14ac:dyDescent="0.25">
      <c r="B530" s="291">
        <v>44417</v>
      </c>
      <c r="C530">
        <v>78.339995999999999</v>
      </c>
      <c r="D530" s="289">
        <f t="shared" si="31"/>
        <v>-3.6881725939783561E-3</v>
      </c>
      <c r="E530">
        <v>4432.3500979999999</v>
      </c>
      <c r="F530" s="289">
        <f t="shared" si="31"/>
        <v>-9.3990830227341782E-4</v>
      </c>
    </row>
    <row r="531" spans="2:6" hidden="1" outlineLevel="1" x14ac:dyDescent="0.25">
      <c r="B531" s="291">
        <v>44418</v>
      </c>
      <c r="C531">
        <v>78.730002999999996</v>
      </c>
      <c r="D531" s="289">
        <f t="shared" si="31"/>
        <v>4.9783893274644164E-3</v>
      </c>
      <c r="E531">
        <v>4436.75</v>
      </c>
      <c r="F531" s="289">
        <f t="shared" si="31"/>
        <v>9.9267925653823141E-4</v>
      </c>
    </row>
    <row r="532" spans="2:6" hidden="1" outlineLevel="1" x14ac:dyDescent="0.25">
      <c r="B532" s="291">
        <v>44419</v>
      </c>
      <c r="C532">
        <v>79.099997999999999</v>
      </c>
      <c r="D532" s="289">
        <f t="shared" si="31"/>
        <v>4.6995425619380526E-3</v>
      </c>
      <c r="E532">
        <v>4442.4101559999999</v>
      </c>
      <c r="F532" s="289">
        <f t="shared" si="31"/>
        <v>1.2757437313348774E-3</v>
      </c>
    </row>
    <row r="533" spans="2:6" hidden="1" outlineLevel="1" x14ac:dyDescent="0.25">
      <c r="B533" s="291">
        <v>44420</v>
      </c>
      <c r="C533">
        <v>78.790001000000004</v>
      </c>
      <c r="D533" s="289">
        <f t="shared" si="31"/>
        <v>-3.9190519322136463E-3</v>
      </c>
      <c r="E533">
        <v>4460.830078</v>
      </c>
      <c r="F533" s="289">
        <f t="shared" si="31"/>
        <v>4.1463803100489915E-3</v>
      </c>
    </row>
    <row r="534" spans="2:6" hidden="1" outlineLevel="1" x14ac:dyDescent="0.25">
      <c r="B534" s="291">
        <v>44421</v>
      </c>
      <c r="C534">
        <v>79.440002000000007</v>
      </c>
      <c r="D534" s="289">
        <f t="shared" si="31"/>
        <v>8.2497904778551234E-3</v>
      </c>
      <c r="E534">
        <v>4468</v>
      </c>
      <c r="F534" s="289">
        <f t="shared" si="31"/>
        <v>1.6073066838750982E-3</v>
      </c>
    </row>
    <row r="535" spans="2:6" hidden="1" outlineLevel="1" x14ac:dyDescent="0.25">
      <c r="B535" s="291">
        <v>44424</v>
      </c>
      <c r="C535">
        <v>79.779999000000004</v>
      </c>
      <c r="D535" s="289">
        <f t="shared" si="31"/>
        <v>4.2799218459232957E-3</v>
      </c>
      <c r="E535">
        <v>4479.7099609999996</v>
      </c>
      <c r="F535" s="289">
        <f t="shared" si="31"/>
        <v>2.6208507162039929E-3</v>
      </c>
    </row>
    <row r="536" spans="2:6" hidden="1" outlineLevel="1" x14ac:dyDescent="0.25">
      <c r="B536" s="291">
        <v>44425</v>
      </c>
      <c r="C536">
        <v>80.029999000000004</v>
      </c>
      <c r="D536" s="289">
        <f t="shared" si="31"/>
        <v>3.1336174872602651E-3</v>
      </c>
      <c r="E536">
        <v>4448.080078</v>
      </c>
      <c r="F536" s="289">
        <f t="shared" si="31"/>
        <v>-7.0606988567043505E-3</v>
      </c>
    </row>
    <row r="537" spans="2:6" hidden="1" outlineLevel="1" x14ac:dyDescent="0.25">
      <c r="B537" s="291">
        <v>44426</v>
      </c>
      <c r="C537">
        <v>78.160004000000001</v>
      </c>
      <c r="D537" s="289">
        <f t="shared" si="31"/>
        <v>-2.3366175476273621E-2</v>
      </c>
      <c r="E537">
        <v>4400.2700199999999</v>
      </c>
      <c r="F537" s="289">
        <f t="shared" si="31"/>
        <v>-1.074847061240336E-2</v>
      </c>
    </row>
    <row r="538" spans="2:6" hidden="1" outlineLevel="1" x14ac:dyDescent="0.25">
      <c r="B538" s="291">
        <v>44427</v>
      </c>
      <c r="C538">
        <v>78.970000999999996</v>
      </c>
      <c r="D538" s="289">
        <f t="shared" si="31"/>
        <v>1.0363318302798463E-2</v>
      </c>
      <c r="E538">
        <v>4405.7998049999997</v>
      </c>
      <c r="F538" s="289">
        <f t="shared" si="31"/>
        <v>1.2566921972665401E-3</v>
      </c>
    </row>
    <row r="539" spans="2:6" hidden="1" outlineLevel="1" x14ac:dyDescent="0.25">
      <c r="B539" s="291">
        <v>44428</v>
      </c>
      <c r="C539">
        <v>78.800003000000004</v>
      </c>
      <c r="D539" s="289">
        <f t="shared" si="31"/>
        <v>-2.1526908680169488E-3</v>
      </c>
      <c r="E539">
        <v>4441.669922</v>
      </c>
      <c r="F539" s="289">
        <f t="shared" si="31"/>
        <v>8.1415676126028735E-3</v>
      </c>
    </row>
    <row r="540" spans="2:6" hidden="1" outlineLevel="1" x14ac:dyDescent="0.25">
      <c r="B540" s="291">
        <v>44431</v>
      </c>
      <c r="C540">
        <v>78.379997000000003</v>
      </c>
      <c r="D540" s="289">
        <f t="shared" si="31"/>
        <v>-5.3300251777909091E-3</v>
      </c>
      <c r="E540">
        <v>4479.5297849999997</v>
      </c>
      <c r="F540" s="289">
        <f t="shared" si="31"/>
        <v>8.523790300687617E-3</v>
      </c>
    </row>
    <row r="541" spans="2:6" hidden="1" outlineLevel="1" x14ac:dyDescent="0.25">
      <c r="B541" s="291">
        <v>44432</v>
      </c>
      <c r="C541">
        <v>77.669998000000007</v>
      </c>
      <c r="D541" s="289">
        <f t="shared" si="31"/>
        <v>-9.0584208621492524E-3</v>
      </c>
      <c r="E541">
        <v>4486.2299800000001</v>
      </c>
      <c r="F541" s="289">
        <f t="shared" si="31"/>
        <v>1.4957362316099232E-3</v>
      </c>
    </row>
    <row r="542" spans="2:6" hidden="1" outlineLevel="1" x14ac:dyDescent="0.25">
      <c r="B542" s="291">
        <v>44433</v>
      </c>
      <c r="C542">
        <v>77.650002000000001</v>
      </c>
      <c r="D542" s="289">
        <f t="shared" ref="D542:F557" si="32">C542/C541-1</f>
        <v>-2.5744818481909792E-4</v>
      </c>
      <c r="E542">
        <v>4496.1899409999996</v>
      </c>
      <c r="F542" s="289">
        <f t="shared" si="32"/>
        <v>2.2201182383430051E-3</v>
      </c>
    </row>
    <row r="543" spans="2:6" hidden="1" outlineLevel="1" x14ac:dyDescent="0.25">
      <c r="B543" s="291">
        <v>44434</v>
      </c>
      <c r="C543">
        <v>77.309997999999993</v>
      </c>
      <c r="D543" s="289">
        <f t="shared" si="32"/>
        <v>-4.3786734223136836E-3</v>
      </c>
      <c r="E543">
        <v>4470</v>
      </c>
      <c r="F543" s="289">
        <f t="shared" si="32"/>
        <v>-5.8249187297845229E-3</v>
      </c>
    </row>
    <row r="544" spans="2:6" hidden="1" outlineLevel="1" x14ac:dyDescent="0.25">
      <c r="B544" s="291">
        <v>44435</v>
      </c>
      <c r="C544">
        <v>77.440002000000007</v>
      </c>
      <c r="D544" s="289">
        <f t="shared" si="32"/>
        <v>1.6815936277738697E-3</v>
      </c>
      <c r="E544">
        <v>4509.3701170000004</v>
      </c>
      <c r="F544" s="289">
        <f t="shared" si="32"/>
        <v>8.8076324384789295E-3</v>
      </c>
    </row>
    <row r="545" spans="2:6" hidden="1" outlineLevel="1" x14ac:dyDescent="0.25">
      <c r="B545" s="291">
        <v>44438</v>
      </c>
      <c r="C545">
        <v>77.650002000000001</v>
      </c>
      <c r="D545" s="289">
        <f t="shared" si="32"/>
        <v>2.7117767894684341E-3</v>
      </c>
      <c r="E545">
        <v>4528.7900390000004</v>
      </c>
      <c r="F545" s="289">
        <f t="shared" si="32"/>
        <v>4.3065708726788277E-3</v>
      </c>
    </row>
    <row r="546" spans="2:6" hidden="1" outlineLevel="1" x14ac:dyDescent="0.25">
      <c r="B546" s="291">
        <v>44439</v>
      </c>
      <c r="C546">
        <v>77.949996999999996</v>
      </c>
      <c r="D546" s="289">
        <f t="shared" si="32"/>
        <v>3.8634255283083174E-3</v>
      </c>
      <c r="E546">
        <v>4522.6801759999998</v>
      </c>
      <c r="F546" s="289">
        <f t="shared" si="32"/>
        <v>-1.3491159774211559E-3</v>
      </c>
    </row>
    <row r="547" spans="2:6" hidden="1" outlineLevel="1" x14ac:dyDescent="0.25">
      <c r="B547" s="291">
        <v>44440</v>
      </c>
      <c r="C547">
        <v>78.330001999999993</v>
      </c>
      <c r="D547" s="289">
        <f t="shared" si="32"/>
        <v>4.8749841516990688E-3</v>
      </c>
      <c r="E547">
        <v>4524.0898440000001</v>
      </c>
      <c r="F547" s="289">
        <f t="shared" si="32"/>
        <v>3.1168863265662594E-4</v>
      </c>
    </row>
    <row r="548" spans="2:6" hidden="1" outlineLevel="1" x14ac:dyDescent="0.25">
      <c r="B548" s="291">
        <v>44441</v>
      </c>
      <c r="C548">
        <v>78.519997000000004</v>
      </c>
      <c r="D548" s="289">
        <f t="shared" si="32"/>
        <v>2.4255712389744666E-3</v>
      </c>
      <c r="E548">
        <v>4536.9501950000003</v>
      </c>
      <c r="F548" s="289">
        <f t="shared" si="32"/>
        <v>2.8426382860313737E-3</v>
      </c>
    </row>
    <row r="549" spans="2:6" hidden="1" outlineLevel="1" x14ac:dyDescent="0.25">
      <c r="B549" s="291">
        <v>44442</v>
      </c>
      <c r="C549">
        <v>77.910004000000001</v>
      </c>
      <c r="D549" s="289">
        <f t="shared" si="32"/>
        <v>-7.768632492433758E-3</v>
      </c>
      <c r="E549">
        <v>4535.4301759999998</v>
      </c>
      <c r="F549" s="289">
        <f t="shared" si="32"/>
        <v>-3.3503100864440416E-4</v>
      </c>
    </row>
    <row r="550" spans="2:6" hidden="1" outlineLevel="1" x14ac:dyDescent="0.25">
      <c r="B550" s="291">
        <v>44446</v>
      </c>
      <c r="C550">
        <v>76.900002000000001</v>
      </c>
      <c r="D550" s="289">
        <f t="shared" si="32"/>
        <v>-1.2963701041524778E-2</v>
      </c>
      <c r="E550">
        <v>4520.0297849999997</v>
      </c>
      <c r="F550" s="289">
        <f t="shared" si="32"/>
        <v>-3.3955744885003636E-3</v>
      </c>
    </row>
    <row r="551" spans="2:6" hidden="1" outlineLevel="1" x14ac:dyDescent="0.25">
      <c r="B551" s="291">
        <v>44447</v>
      </c>
      <c r="C551">
        <v>77.779999000000004</v>
      </c>
      <c r="D551" s="289">
        <f t="shared" si="32"/>
        <v>1.1443393720588002E-2</v>
      </c>
      <c r="E551">
        <v>4514.0698240000002</v>
      </c>
      <c r="F551" s="289">
        <f t="shared" si="32"/>
        <v>-1.3185667536479428E-3</v>
      </c>
    </row>
    <row r="552" spans="2:6" hidden="1" outlineLevel="1" x14ac:dyDescent="0.25">
      <c r="B552" s="291">
        <v>44448</v>
      </c>
      <c r="C552">
        <v>77.300003000000004</v>
      </c>
      <c r="D552" s="289">
        <f t="shared" si="32"/>
        <v>-6.1712009021753778E-3</v>
      </c>
      <c r="E552">
        <v>4493.2797849999997</v>
      </c>
      <c r="F552" s="289">
        <f t="shared" si="32"/>
        <v>-4.6056086437710198E-3</v>
      </c>
    </row>
    <row r="553" spans="2:6" hidden="1" outlineLevel="1" x14ac:dyDescent="0.25">
      <c r="B553" s="291">
        <v>44449</v>
      </c>
      <c r="C553">
        <v>77.040001000000004</v>
      </c>
      <c r="D553" s="289">
        <f t="shared" si="32"/>
        <v>-3.3635445007680342E-3</v>
      </c>
      <c r="E553">
        <v>4458.580078</v>
      </c>
      <c r="F553" s="289">
        <f t="shared" si="32"/>
        <v>-7.7225787532391177E-3</v>
      </c>
    </row>
    <row r="554" spans="2:6" hidden="1" outlineLevel="1" x14ac:dyDescent="0.25">
      <c r="B554" s="291">
        <v>44452</v>
      </c>
      <c r="C554">
        <v>77.379997000000003</v>
      </c>
      <c r="D554" s="289">
        <f t="shared" si="32"/>
        <v>4.4132398181042642E-3</v>
      </c>
      <c r="E554">
        <v>4468.7299800000001</v>
      </c>
      <c r="F554" s="289">
        <f t="shared" si="32"/>
        <v>2.2764875414220676E-3</v>
      </c>
    </row>
    <row r="555" spans="2:6" hidden="1" outlineLevel="1" x14ac:dyDescent="0.25">
      <c r="B555" s="291">
        <v>44453</v>
      </c>
      <c r="C555">
        <v>77.300003000000004</v>
      </c>
      <c r="D555" s="289">
        <f t="shared" si="32"/>
        <v>-1.0337813789266237E-3</v>
      </c>
      <c r="E555">
        <v>4443.0498049999997</v>
      </c>
      <c r="F555" s="289">
        <f t="shared" si="32"/>
        <v>-5.7466383323524495E-3</v>
      </c>
    </row>
    <row r="556" spans="2:6" hidden="1" outlineLevel="1" x14ac:dyDescent="0.25">
      <c r="B556" s="291">
        <v>44454</v>
      </c>
      <c r="C556">
        <v>77.209998999999996</v>
      </c>
      <c r="D556" s="289">
        <f t="shared" si="32"/>
        <v>-1.1643466559763116E-3</v>
      </c>
      <c r="E556">
        <v>4480.7001950000003</v>
      </c>
      <c r="F556" s="289">
        <f t="shared" si="32"/>
        <v>8.4739968383047426E-3</v>
      </c>
    </row>
    <row r="557" spans="2:6" hidden="1" outlineLevel="1" x14ac:dyDescent="0.25">
      <c r="B557" s="291">
        <v>44455</v>
      </c>
      <c r="C557">
        <v>76.470000999999996</v>
      </c>
      <c r="D557" s="289">
        <f t="shared" si="32"/>
        <v>-9.584224965473731E-3</v>
      </c>
      <c r="E557">
        <v>4473.75</v>
      </c>
      <c r="F557" s="289">
        <f t="shared" si="32"/>
        <v>-1.5511403792997092E-3</v>
      </c>
    </row>
    <row r="558" spans="2:6" hidden="1" outlineLevel="1" x14ac:dyDescent="0.25">
      <c r="B558" s="291">
        <v>44456</v>
      </c>
      <c r="C558">
        <v>76.230002999999996</v>
      </c>
      <c r="D558" s="289">
        <f t="shared" ref="D558:F573" si="33">C558/C557-1</f>
        <v>-3.138459485570011E-3</v>
      </c>
      <c r="E558">
        <v>4432.9902339999999</v>
      </c>
      <c r="F558" s="289">
        <f t="shared" si="33"/>
        <v>-9.1108725342274877E-3</v>
      </c>
    </row>
    <row r="559" spans="2:6" hidden="1" outlineLevel="1" x14ac:dyDescent="0.25">
      <c r="B559" s="291">
        <v>44459</v>
      </c>
      <c r="C559">
        <v>76.169998000000007</v>
      </c>
      <c r="D559" s="289">
        <f t="shared" si="33"/>
        <v>-7.8715725617894972E-4</v>
      </c>
      <c r="E559">
        <v>4357.7299800000001</v>
      </c>
      <c r="F559" s="289">
        <f t="shared" si="33"/>
        <v>-1.6977311030999198E-2</v>
      </c>
    </row>
    <row r="560" spans="2:6" hidden="1" outlineLevel="1" x14ac:dyDescent="0.25">
      <c r="B560" s="291">
        <v>44460</v>
      </c>
      <c r="C560">
        <v>76.389999000000003</v>
      </c>
      <c r="D560" s="289">
        <f t="shared" si="33"/>
        <v>2.8882894286015315E-3</v>
      </c>
      <c r="E560">
        <v>4354.1899409999996</v>
      </c>
      <c r="F560" s="289">
        <f t="shared" si="33"/>
        <v>-8.1235850230454432E-4</v>
      </c>
    </row>
    <row r="561" spans="2:6" hidden="1" outlineLevel="1" x14ac:dyDescent="0.25">
      <c r="B561" s="291">
        <v>44461</v>
      </c>
      <c r="C561">
        <v>76.430000000000007</v>
      </c>
      <c r="D561" s="289">
        <f t="shared" si="33"/>
        <v>5.236418447918112E-4</v>
      </c>
      <c r="E561">
        <v>4395.6401370000003</v>
      </c>
      <c r="F561" s="289">
        <f t="shared" si="33"/>
        <v>9.5196113540423344E-3</v>
      </c>
    </row>
    <row r="562" spans="2:6" hidden="1" outlineLevel="1" x14ac:dyDescent="0.25">
      <c r="B562" s="291">
        <v>44462</v>
      </c>
      <c r="C562">
        <v>76.669998000000007</v>
      </c>
      <c r="D562" s="289">
        <f t="shared" si="33"/>
        <v>3.1401020541672597E-3</v>
      </c>
      <c r="E562">
        <v>4448.9799800000001</v>
      </c>
      <c r="F562" s="289">
        <f t="shared" si="33"/>
        <v>1.2134715613094649E-2</v>
      </c>
    </row>
    <row r="563" spans="2:6" hidden="1" outlineLevel="1" x14ac:dyDescent="0.25">
      <c r="B563" s="291">
        <v>44463</v>
      </c>
      <c r="C563">
        <v>76.629997000000003</v>
      </c>
      <c r="D563" s="289">
        <f t="shared" si="33"/>
        <v>-5.2172950363194026E-4</v>
      </c>
      <c r="E563">
        <v>4455.4799800000001</v>
      </c>
      <c r="F563" s="289">
        <f t="shared" si="33"/>
        <v>1.4610090468423209E-3</v>
      </c>
    </row>
    <row r="564" spans="2:6" hidden="1" outlineLevel="1" x14ac:dyDescent="0.25">
      <c r="B564" s="291">
        <v>44466</v>
      </c>
      <c r="C564">
        <v>76.010002</v>
      </c>
      <c r="D564" s="289">
        <f t="shared" si="33"/>
        <v>-8.0907611153893111E-3</v>
      </c>
      <c r="E564">
        <v>4443.1098629999997</v>
      </c>
      <c r="F564" s="289">
        <f t="shared" si="33"/>
        <v>-2.7763825795488195E-3</v>
      </c>
    </row>
    <row r="565" spans="2:6" hidden="1" outlineLevel="1" x14ac:dyDescent="0.25">
      <c r="B565" s="291">
        <v>44467</v>
      </c>
      <c r="C565">
        <v>75.819999999999993</v>
      </c>
      <c r="D565" s="289">
        <f t="shared" si="33"/>
        <v>-2.4996973424630253E-3</v>
      </c>
      <c r="E565">
        <v>4352.6298829999996</v>
      </c>
      <c r="F565" s="289">
        <f t="shared" si="33"/>
        <v>-2.0364110451886908E-2</v>
      </c>
    </row>
    <row r="566" spans="2:6" hidden="1" outlineLevel="1" x14ac:dyDescent="0.25">
      <c r="B566" s="291">
        <v>44468</v>
      </c>
      <c r="C566">
        <v>77.080001999999993</v>
      </c>
      <c r="D566" s="289">
        <f t="shared" si="33"/>
        <v>1.661833289369552E-2</v>
      </c>
      <c r="E566">
        <v>4359.4599609999996</v>
      </c>
      <c r="F566" s="289">
        <f t="shared" si="33"/>
        <v>1.5691841906144699E-3</v>
      </c>
    </row>
    <row r="567" spans="2:6" hidden="1" outlineLevel="1" x14ac:dyDescent="0.25">
      <c r="B567" s="291">
        <v>44469</v>
      </c>
      <c r="C567">
        <v>75.580001999999993</v>
      </c>
      <c r="D567" s="289">
        <f t="shared" si="33"/>
        <v>-1.9460300481050852E-2</v>
      </c>
      <c r="E567">
        <v>4307.5400390000004</v>
      </c>
      <c r="F567" s="289">
        <f t="shared" si="33"/>
        <v>-1.1909714153697459E-2</v>
      </c>
    </row>
    <row r="568" spans="2:6" hidden="1" outlineLevel="1" x14ac:dyDescent="0.25">
      <c r="B568" s="291">
        <v>44470</v>
      </c>
      <c r="C568">
        <v>75.580001999999993</v>
      </c>
      <c r="D568" s="289">
        <f t="shared" si="33"/>
        <v>0</v>
      </c>
      <c r="E568">
        <v>4357.0400390000004</v>
      </c>
      <c r="F568" s="289">
        <f t="shared" si="33"/>
        <v>1.1491477630348745E-2</v>
      </c>
    </row>
    <row r="569" spans="2:6" hidden="1" outlineLevel="1" x14ac:dyDescent="0.25">
      <c r="B569" s="291">
        <v>44473</v>
      </c>
      <c r="C569">
        <v>75.059997999999993</v>
      </c>
      <c r="D569" s="289">
        <f t="shared" si="33"/>
        <v>-6.8801797597199954E-3</v>
      </c>
      <c r="E569">
        <v>4300.4599609999996</v>
      </c>
      <c r="F569" s="289">
        <f t="shared" si="33"/>
        <v>-1.2985898108245686E-2</v>
      </c>
    </row>
    <row r="570" spans="2:6" hidden="1" outlineLevel="1" x14ac:dyDescent="0.25">
      <c r="B570" s="291">
        <v>44474</v>
      </c>
      <c r="C570">
        <v>74.419998000000007</v>
      </c>
      <c r="D570" s="289">
        <f t="shared" si="33"/>
        <v>-8.526512350826132E-3</v>
      </c>
      <c r="E570">
        <v>4345.7202150000003</v>
      </c>
      <c r="F570" s="289">
        <f t="shared" si="33"/>
        <v>1.0524514682256569E-2</v>
      </c>
    </row>
    <row r="571" spans="2:6" hidden="1" outlineLevel="1" x14ac:dyDescent="0.25">
      <c r="B571" s="291">
        <v>44475</v>
      </c>
      <c r="C571">
        <v>75.099997999999999</v>
      </c>
      <c r="D571" s="289">
        <f t="shared" si="33"/>
        <v>9.1373289206484465E-3</v>
      </c>
      <c r="E571">
        <v>4363.5498049999997</v>
      </c>
      <c r="F571" s="289">
        <f t="shared" si="33"/>
        <v>4.1027928899926014E-3</v>
      </c>
    </row>
    <row r="572" spans="2:6" hidden="1" outlineLevel="1" x14ac:dyDescent="0.25">
      <c r="B572" s="291">
        <v>44476</v>
      </c>
      <c r="C572">
        <v>75.589995999999999</v>
      </c>
      <c r="D572" s="289">
        <f t="shared" si="33"/>
        <v>6.5246073641707092E-3</v>
      </c>
      <c r="E572">
        <v>4399.7597660000001</v>
      </c>
      <c r="F572" s="289">
        <f t="shared" si="33"/>
        <v>8.2982806701343836E-3</v>
      </c>
    </row>
    <row r="573" spans="2:6" hidden="1" outlineLevel="1" x14ac:dyDescent="0.25">
      <c r="B573" s="291">
        <v>44477</v>
      </c>
      <c r="C573">
        <v>75.589995999999999</v>
      </c>
      <c r="D573" s="289">
        <f t="shared" si="33"/>
        <v>0</v>
      </c>
      <c r="E573">
        <v>4391.3398440000001</v>
      </c>
      <c r="F573" s="289">
        <f t="shared" si="33"/>
        <v>-1.9137231230365037E-3</v>
      </c>
    </row>
    <row r="574" spans="2:6" hidden="1" outlineLevel="1" x14ac:dyDescent="0.25">
      <c r="B574" s="291">
        <v>44480</v>
      </c>
      <c r="C574">
        <v>75.800003000000004</v>
      </c>
      <c r="D574" s="289">
        <f t="shared" ref="D574:F589" si="34">C574/C573-1</f>
        <v>2.778238009167211E-3</v>
      </c>
      <c r="E574">
        <v>4361.1899409999996</v>
      </c>
      <c r="F574" s="289">
        <f t="shared" si="34"/>
        <v>-6.8657639971078099E-3</v>
      </c>
    </row>
    <row r="575" spans="2:6" hidden="1" outlineLevel="1" x14ac:dyDescent="0.25">
      <c r="B575" s="291">
        <v>44481</v>
      </c>
      <c r="C575">
        <v>75.669998000000007</v>
      </c>
      <c r="D575" s="289">
        <f t="shared" si="34"/>
        <v>-1.715105473016898E-3</v>
      </c>
      <c r="E575">
        <v>4350.6499020000001</v>
      </c>
      <c r="F575" s="289">
        <f t="shared" si="34"/>
        <v>-2.4167805444361701E-3</v>
      </c>
    </row>
    <row r="576" spans="2:6" hidden="1" outlineLevel="1" x14ac:dyDescent="0.25">
      <c r="B576" s="291">
        <v>44482</v>
      </c>
      <c r="C576">
        <v>76.069999999999993</v>
      </c>
      <c r="D576" s="289">
        <f t="shared" si="34"/>
        <v>5.2861373142891743E-3</v>
      </c>
      <c r="E576">
        <v>4363.7998049999997</v>
      </c>
      <c r="F576" s="289">
        <f t="shared" si="34"/>
        <v>3.022514634872131E-3</v>
      </c>
    </row>
    <row r="577" spans="2:6" hidden="1" outlineLevel="1" x14ac:dyDescent="0.25">
      <c r="B577" s="291">
        <v>44483</v>
      </c>
      <c r="C577">
        <v>76.599997999999999</v>
      </c>
      <c r="D577" s="289">
        <f t="shared" si="34"/>
        <v>6.9672406993559477E-3</v>
      </c>
      <c r="E577">
        <v>4438.2597660000001</v>
      </c>
      <c r="F577" s="289">
        <f t="shared" si="34"/>
        <v>1.706310195868399E-2</v>
      </c>
    </row>
    <row r="578" spans="2:6" hidden="1" outlineLevel="1" x14ac:dyDescent="0.25">
      <c r="B578" s="291">
        <v>44484</v>
      </c>
      <c r="C578">
        <v>76.25</v>
      </c>
      <c r="D578" s="289">
        <f t="shared" si="34"/>
        <v>-4.5691646101609917E-3</v>
      </c>
      <c r="E578">
        <v>4471.3701170000004</v>
      </c>
      <c r="F578" s="289">
        <f t="shared" si="34"/>
        <v>7.4602102503433798E-3</v>
      </c>
    </row>
    <row r="579" spans="2:6" hidden="1" outlineLevel="1" x14ac:dyDescent="0.25">
      <c r="B579" s="291">
        <v>44487</v>
      </c>
      <c r="C579">
        <v>75.279999000000004</v>
      </c>
      <c r="D579" s="289">
        <f t="shared" si="34"/>
        <v>-1.2721324590163841E-2</v>
      </c>
      <c r="E579">
        <v>4486.4599609999996</v>
      </c>
      <c r="F579" s="289">
        <f t="shared" si="34"/>
        <v>3.3747696131500859E-3</v>
      </c>
    </row>
    <row r="580" spans="2:6" hidden="1" outlineLevel="1" x14ac:dyDescent="0.25">
      <c r="B580" s="291">
        <v>44488</v>
      </c>
      <c r="C580">
        <v>74.779999000000004</v>
      </c>
      <c r="D580" s="289">
        <f t="shared" si="34"/>
        <v>-6.641870438919617E-3</v>
      </c>
      <c r="E580">
        <v>4519.6298829999996</v>
      </c>
      <c r="F580" s="289">
        <f t="shared" si="34"/>
        <v>7.3933395791649925E-3</v>
      </c>
    </row>
    <row r="581" spans="2:6" hidden="1" outlineLevel="1" x14ac:dyDescent="0.25">
      <c r="B581" s="291">
        <v>44489</v>
      </c>
      <c r="C581">
        <v>75.099997999999999</v>
      </c>
      <c r="D581" s="289">
        <f t="shared" si="34"/>
        <v>4.2792057271892059E-3</v>
      </c>
      <c r="E581">
        <v>4536.1899409999996</v>
      </c>
      <c r="F581" s="289">
        <f t="shared" si="34"/>
        <v>3.6640296724934629E-3</v>
      </c>
    </row>
    <row r="582" spans="2:6" hidden="1" outlineLevel="1" x14ac:dyDescent="0.25">
      <c r="B582" s="291">
        <v>44490</v>
      </c>
      <c r="C582">
        <v>74.889999000000003</v>
      </c>
      <c r="D582" s="289">
        <f t="shared" si="34"/>
        <v>-2.7962583967046095E-3</v>
      </c>
      <c r="E582">
        <v>4549.7797849999997</v>
      </c>
      <c r="F582" s="289">
        <f t="shared" si="34"/>
        <v>2.9958719050031668E-3</v>
      </c>
    </row>
    <row r="583" spans="2:6" hidden="1" outlineLevel="1" x14ac:dyDescent="0.25">
      <c r="B583" s="291">
        <v>44491</v>
      </c>
      <c r="C583">
        <v>75.5</v>
      </c>
      <c r="D583" s="289">
        <f t="shared" si="34"/>
        <v>8.1452932053049931E-3</v>
      </c>
      <c r="E583">
        <v>4544.8999020000001</v>
      </c>
      <c r="F583" s="289">
        <f t="shared" si="34"/>
        <v>-1.0725536686606585E-3</v>
      </c>
    </row>
    <row r="584" spans="2:6" hidden="1" outlineLevel="1" x14ac:dyDescent="0.25">
      <c r="B584" s="291">
        <v>44494</v>
      </c>
      <c r="C584">
        <v>75.139999000000003</v>
      </c>
      <c r="D584" s="289">
        <f t="shared" si="34"/>
        <v>-4.768225165562856E-3</v>
      </c>
      <c r="E584">
        <v>4566.4799800000001</v>
      </c>
      <c r="F584" s="289">
        <f t="shared" si="34"/>
        <v>4.7481965423492589E-3</v>
      </c>
    </row>
    <row r="585" spans="2:6" hidden="1" outlineLevel="1" x14ac:dyDescent="0.25">
      <c r="B585" s="291">
        <v>44495</v>
      </c>
      <c r="C585">
        <v>76.160004000000001</v>
      </c>
      <c r="D585" s="289">
        <f t="shared" si="34"/>
        <v>1.3574727356597371E-2</v>
      </c>
      <c r="E585">
        <v>4574.7900390000004</v>
      </c>
      <c r="F585" s="289">
        <f t="shared" si="34"/>
        <v>1.8197953426701829E-3</v>
      </c>
    </row>
    <row r="586" spans="2:6" hidden="1" outlineLevel="1" x14ac:dyDescent="0.25">
      <c r="B586" s="291">
        <v>44496</v>
      </c>
      <c r="C586">
        <v>75.900002000000001</v>
      </c>
      <c r="D586" s="289">
        <f t="shared" si="34"/>
        <v>-3.4138916274216724E-3</v>
      </c>
      <c r="E586">
        <v>4551.6801759999998</v>
      </c>
      <c r="F586" s="289">
        <f t="shared" si="34"/>
        <v>-5.0515680070537528E-3</v>
      </c>
    </row>
    <row r="587" spans="2:6" hidden="1" outlineLevel="1" x14ac:dyDescent="0.25">
      <c r="B587" s="291">
        <v>44497</v>
      </c>
      <c r="C587">
        <v>76.879997000000003</v>
      </c>
      <c r="D587" s="289">
        <f t="shared" si="34"/>
        <v>1.2911659738823245E-2</v>
      </c>
      <c r="E587">
        <v>4596.419922</v>
      </c>
      <c r="F587" s="289">
        <f t="shared" si="34"/>
        <v>9.8292815553919777E-3</v>
      </c>
    </row>
    <row r="588" spans="2:6" hidden="1" outlineLevel="1" x14ac:dyDescent="0.25">
      <c r="B588" s="291">
        <v>44498</v>
      </c>
      <c r="C588">
        <v>76.190002000000007</v>
      </c>
      <c r="D588" s="289">
        <f t="shared" si="34"/>
        <v>-8.9749613283672813E-3</v>
      </c>
      <c r="E588">
        <v>4605.3798829999996</v>
      </c>
      <c r="F588" s="289">
        <f t="shared" si="34"/>
        <v>1.9493347326935417E-3</v>
      </c>
    </row>
    <row r="589" spans="2:6" hidden="1" outlineLevel="1" x14ac:dyDescent="0.25">
      <c r="B589" s="291">
        <v>44501</v>
      </c>
      <c r="C589">
        <v>75.949996999999996</v>
      </c>
      <c r="D589" s="289">
        <f t="shared" si="34"/>
        <v>-3.1500852303431026E-3</v>
      </c>
      <c r="E589">
        <v>4613.669922</v>
      </c>
      <c r="F589" s="289">
        <f t="shared" si="34"/>
        <v>1.8000771294897078E-3</v>
      </c>
    </row>
    <row r="590" spans="2:6" hidden="1" outlineLevel="1" x14ac:dyDescent="0.25">
      <c r="B590" s="291">
        <v>44502</v>
      </c>
      <c r="C590">
        <v>76.269997000000004</v>
      </c>
      <c r="D590" s="289">
        <f t="shared" ref="D590:F605" si="35">C590/C589-1</f>
        <v>4.2132983889389131E-3</v>
      </c>
      <c r="E590">
        <v>4630.6499020000001</v>
      </c>
      <c r="F590" s="289">
        <f t="shared" si="35"/>
        <v>3.6803629837132146E-3</v>
      </c>
    </row>
    <row r="591" spans="2:6" hidden="1" outlineLevel="1" x14ac:dyDescent="0.25">
      <c r="B591" s="291">
        <v>44503</v>
      </c>
      <c r="C591">
        <v>77.269997000000004</v>
      </c>
      <c r="D591" s="289">
        <f t="shared" si="35"/>
        <v>1.3111315580620841E-2</v>
      </c>
      <c r="E591">
        <v>4660.5698240000002</v>
      </c>
      <c r="F591" s="289">
        <f t="shared" si="35"/>
        <v>6.461279222831573E-3</v>
      </c>
    </row>
    <row r="592" spans="2:6" hidden="1" outlineLevel="1" x14ac:dyDescent="0.25">
      <c r="B592" s="291">
        <v>44504</v>
      </c>
      <c r="C592">
        <v>77.290001000000004</v>
      </c>
      <c r="D592" s="289">
        <f t="shared" si="35"/>
        <v>2.5888444126631605E-4</v>
      </c>
      <c r="E592">
        <v>4680.0600590000004</v>
      </c>
      <c r="F592" s="289">
        <f t="shared" si="35"/>
        <v>4.1819424954505635E-3</v>
      </c>
    </row>
    <row r="593" spans="2:6" hidden="1" outlineLevel="1" x14ac:dyDescent="0.25">
      <c r="B593" s="291">
        <v>44505</v>
      </c>
      <c r="C593">
        <v>77.839995999999999</v>
      </c>
      <c r="D593" s="289">
        <f t="shared" si="35"/>
        <v>7.1159916274292634E-3</v>
      </c>
      <c r="E593">
        <v>4697.5297849999997</v>
      </c>
      <c r="F593" s="289">
        <f t="shared" si="35"/>
        <v>3.7327995324343277E-3</v>
      </c>
    </row>
    <row r="594" spans="2:6" hidden="1" outlineLevel="1" x14ac:dyDescent="0.25">
      <c r="B594" s="291">
        <v>44508</v>
      </c>
      <c r="C594">
        <v>77.739998</v>
      </c>
      <c r="D594" s="289">
        <f t="shared" si="35"/>
        <v>-1.2846609087697747E-3</v>
      </c>
      <c r="E594">
        <v>4701.7001950000003</v>
      </c>
      <c r="F594" s="289">
        <f t="shared" si="35"/>
        <v>8.8778787807108905E-4</v>
      </c>
    </row>
    <row r="595" spans="2:6" hidden="1" outlineLevel="1" x14ac:dyDescent="0.25">
      <c r="B595" s="291">
        <v>44509</v>
      </c>
      <c r="C595">
        <v>78.050003000000004</v>
      </c>
      <c r="D595" s="289">
        <f t="shared" si="35"/>
        <v>3.9877155643868178E-3</v>
      </c>
      <c r="E595">
        <v>4685.25</v>
      </c>
      <c r="F595" s="289">
        <f t="shared" si="35"/>
        <v>-3.4987758295380589E-3</v>
      </c>
    </row>
    <row r="596" spans="2:6" hidden="1" outlineLevel="1" x14ac:dyDescent="0.25">
      <c r="B596" s="291">
        <v>44510</v>
      </c>
      <c r="C596">
        <v>78.480002999999996</v>
      </c>
      <c r="D596" s="289">
        <f t="shared" si="35"/>
        <v>5.5092887056005235E-3</v>
      </c>
      <c r="E596">
        <v>4646.7099609999996</v>
      </c>
      <c r="F596" s="289">
        <f t="shared" si="35"/>
        <v>-8.2258233818900406E-3</v>
      </c>
    </row>
    <row r="597" spans="2:6" hidden="1" outlineLevel="1" x14ac:dyDescent="0.25">
      <c r="B597" s="291">
        <v>44511</v>
      </c>
      <c r="C597">
        <v>77.989998</v>
      </c>
      <c r="D597" s="289">
        <f t="shared" si="35"/>
        <v>-6.2436924218771672E-3</v>
      </c>
      <c r="E597">
        <v>4649.2700199999999</v>
      </c>
      <c r="F597" s="289">
        <f t="shared" si="35"/>
        <v>5.5094013215528648E-4</v>
      </c>
    </row>
    <row r="598" spans="2:6" hidden="1" outlineLevel="1" x14ac:dyDescent="0.25">
      <c r="B598" s="291">
        <v>44512</v>
      </c>
      <c r="C598">
        <v>78.029999000000004</v>
      </c>
      <c r="D598" s="289">
        <f t="shared" si="35"/>
        <v>5.1289910277985129E-4</v>
      </c>
      <c r="E598">
        <v>4682.8500979999999</v>
      </c>
      <c r="F598" s="289">
        <f t="shared" si="35"/>
        <v>7.2226559988013417E-3</v>
      </c>
    </row>
    <row r="599" spans="2:6" hidden="1" outlineLevel="1" x14ac:dyDescent="0.25">
      <c r="B599" s="291">
        <v>44515</v>
      </c>
      <c r="C599">
        <v>78.300003000000004</v>
      </c>
      <c r="D599" s="289">
        <f t="shared" si="35"/>
        <v>3.4602589191370381E-3</v>
      </c>
      <c r="E599">
        <v>4682.7998049999997</v>
      </c>
      <c r="F599" s="289">
        <f t="shared" si="35"/>
        <v>-1.0739827017269832E-5</v>
      </c>
    </row>
    <row r="600" spans="2:6" hidden="1" outlineLevel="1" x14ac:dyDescent="0.25">
      <c r="B600" s="291">
        <v>44516</v>
      </c>
      <c r="C600">
        <v>77.879997000000003</v>
      </c>
      <c r="D600" s="289">
        <f t="shared" si="35"/>
        <v>-5.3640610971623648E-3</v>
      </c>
      <c r="E600">
        <v>4700.8999020000001</v>
      </c>
      <c r="F600" s="289">
        <f t="shared" si="35"/>
        <v>3.8652297244641254E-3</v>
      </c>
    </row>
    <row r="601" spans="2:6" hidden="1" outlineLevel="1" x14ac:dyDescent="0.25">
      <c r="B601" s="291">
        <v>44517</v>
      </c>
      <c r="C601">
        <v>77.580001999999993</v>
      </c>
      <c r="D601" s="289">
        <f t="shared" si="35"/>
        <v>-3.852016070314046E-3</v>
      </c>
      <c r="E601">
        <v>4688.669922</v>
      </c>
      <c r="F601" s="289">
        <f t="shared" si="35"/>
        <v>-2.6016252749386792E-3</v>
      </c>
    </row>
    <row r="602" spans="2:6" hidden="1" outlineLevel="1" x14ac:dyDescent="0.25">
      <c r="B602" s="291">
        <v>44518</v>
      </c>
      <c r="C602">
        <v>76.389999000000003</v>
      </c>
      <c r="D602" s="289">
        <f t="shared" si="35"/>
        <v>-1.5339043172491684E-2</v>
      </c>
      <c r="E602">
        <v>4704.5400390000004</v>
      </c>
      <c r="F602" s="289">
        <f t="shared" si="35"/>
        <v>3.384780175191171E-3</v>
      </c>
    </row>
    <row r="603" spans="2:6" hidden="1" outlineLevel="1" x14ac:dyDescent="0.25">
      <c r="B603" s="291">
        <v>44519</v>
      </c>
      <c r="C603">
        <v>77.199996999999996</v>
      </c>
      <c r="D603" s="289">
        <f t="shared" si="35"/>
        <v>1.060345608853841E-2</v>
      </c>
      <c r="E603">
        <v>4697.9599609999996</v>
      </c>
      <c r="F603" s="289">
        <f t="shared" si="35"/>
        <v>-1.3986655327519193E-3</v>
      </c>
    </row>
    <row r="604" spans="2:6" hidden="1" outlineLevel="1" x14ac:dyDescent="0.25">
      <c r="B604" s="291">
        <v>44522</v>
      </c>
      <c r="C604">
        <v>77.559997999999993</v>
      </c>
      <c r="D604" s="289">
        <f t="shared" si="35"/>
        <v>4.6632255698144665E-3</v>
      </c>
      <c r="E604">
        <v>4682.9399409999996</v>
      </c>
      <c r="F604" s="289">
        <f t="shared" si="35"/>
        <v>-3.1971366560566983E-3</v>
      </c>
    </row>
    <row r="605" spans="2:6" hidden="1" outlineLevel="1" x14ac:dyDescent="0.25">
      <c r="B605" s="291">
        <v>44523</v>
      </c>
      <c r="C605">
        <v>77.930000000000007</v>
      </c>
      <c r="D605" s="289">
        <f t="shared" si="35"/>
        <v>4.770526167368061E-3</v>
      </c>
      <c r="E605">
        <v>4690.7001950000003</v>
      </c>
      <c r="F605" s="289">
        <f t="shared" si="35"/>
        <v>1.6571329331085405E-3</v>
      </c>
    </row>
    <row r="606" spans="2:6" hidden="1" outlineLevel="1" x14ac:dyDescent="0.25">
      <c r="B606" s="291">
        <v>44524</v>
      </c>
      <c r="C606">
        <v>77.760002</v>
      </c>
      <c r="D606" s="289">
        <f t="shared" ref="D606:F621" si="36">C606/C605-1</f>
        <v>-2.1814192223791329E-3</v>
      </c>
      <c r="E606">
        <v>4701.4599609999996</v>
      </c>
      <c r="F606" s="289">
        <f t="shared" si="36"/>
        <v>2.2938507158203336E-3</v>
      </c>
    </row>
    <row r="607" spans="2:6" hidden="1" outlineLevel="1" x14ac:dyDescent="0.25">
      <c r="B607" s="291">
        <v>44526</v>
      </c>
      <c r="C607">
        <v>77.059997999999993</v>
      </c>
      <c r="D607" s="289">
        <f t="shared" si="36"/>
        <v>-9.0021088219622847E-3</v>
      </c>
      <c r="E607">
        <v>4594.6201170000004</v>
      </c>
      <c r="F607" s="289">
        <f t="shared" si="36"/>
        <v>-2.2724822690455171E-2</v>
      </c>
    </row>
    <row r="608" spans="2:6" hidden="1" outlineLevel="1" x14ac:dyDescent="0.25">
      <c r="B608" s="291">
        <v>44529</v>
      </c>
      <c r="C608">
        <v>77.709998999999996</v>
      </c>
      <c r="D608" s="289">
        <f t="shared" si="36"/>
        <v>8.4349989212302301E-3</v>
      </c>
      <c r="E608">
        <v>4655.2700199999999</v>
      </c>
      <c r="F608" s="289">
        <f t="shared" si="36"/>
        <v>1.3200199680403646E-2</v>
      </c>
    </row>
    <row r="609" spans="2:6" hidden="1" outlineLevel="1" x14ac:dyDescent="0.25">
      <c r="B609" s="291">
        <v>44530</v>
      </c>
      <c r="C609">
        <v>75.019997000000004</v>
      </c>
      <c r="D609" s="289">
        <f t="shared" si="36"/>
        <v>-3.4615905734344365E-2</v>
      </c>
      <c r="E609">
        <v>4567</v>
      </c>
      <c r="F609" s="289">
        <f t="shared" si="36"/>
        <v>-1.8961310433288192E-2</v>
      </c>
    </row>
    <row r="610" spans="2:6" hidden="1" outlineLevel="1" x14ac:dyDescent="0.25">
      <c r="B610" s="291">
        <v>44531</v>
      </c>
      <c r="C610">
        <v>75.389999000000003</v>
      </c>
      <c r="D610" s="289">
        <f t="shared" si="36"/>
        <v>4.9320449852856552E-3</v>
      </c>
      <c r="E610">
        <v>4513.0400390000004</v>
      </c>
      <c r="F610" s="289">
        <f t="shared" si="36"/>
        <v>-1.1815187431574281E-2</v>
      </c>
    </row>
    <row r="611" spans="2:6" hidden="1" outlineLevel="1" x14ac:dyDescent="0.25">
      <c r="B611" s="291">
        <v>44532</v>
      </c>
      <c r="C611">
        <v>75.480002999999996</v>
      </c>
      <c r="D611" s="289">
        <f t="shared" si="36"/>
        <v>1.1938453534134918E-3</v>
      </c>
      <c r="E611">
        <v>4577.1000979999999</v>
      </c>
      <c r="F611" s="289">
        <f t="shared" si="36"/>
        <v>1.4194436221796503E-2</v>
      </c>
    </row>
    <row r="612" spans="2:6" hidden="1" outlineLevel="1" x14ac:dyDescent="0.25">
      <c r="B612" s="291">
        <v>44533</v>
      </c>
      <c r="C612">
        <v>76.769997000000004</v>
      </c>
      <c r="D612" s="289">
        <f t="shared" si="36"/>
        <v>1.7090539861266407E-2</v>
      </c>
      <c r="E612">
        <v>4538.4301759999998</v>
      </c>
      <c r="F612" s="289">
        <f t="shared" si="36"/>
        <v>-8.4485637569728933E-3</v>
      </c>
    </row>
    <row r="613" spans="2:6" hidden="1" outlineLevel="1" x14ac:dyDescent="0.25">
      <c r="B613" s="291">
        <v>44536</v>
      </c>
      <c r="C613">
        <v>78.580001999999993</v>
      </c>
      <c r="D613" s="289">
        <f t="shared" si="36"/>
        <v>2.3576984117896771E-2</v>
      </c>
      <c r="E613">
        <v>4591.669922</v>
      </c>
      <c r="F613" s="289">
        <f t="shared" si="36"/>
        <v>1.1730872556229066E-2</v>
      </c>
    </row>
    <row r="614" spans="2:6" hidden="1" outlineLevel="1" x14ac:dyDescent="0.25">
      <c r="B614" s="291">
        <v>44537</v>
      </c>
      <c r="C614">
        <v>77.809997999999993</v>
      </c>
      <c r="D614" s="289">
        <f t="shared" si="36"/>
        <v>-9.7989816798427221E-3</v>
      </c>
      <c r="E614">
        <v>4686.75</v>
      </c>
      <c r="F614" s="289">
        <f t="shared" si="36"/>
        <v>2.070708034661739E-2</v>
      </c>
    </row>
    <row r="615" spans="2:6" hidden="1" outlineLevel="1" x14ac:dyDescent="0.25">
      <c r="B615" s="291">
        <v>44538</v>
      </c>
      <c r="C615">
        <v>77.760002</v>
      </c>
      <c r="D615" s="289">
        <f t="shared" si="36"/>
        <v>-6.4253953585746704E-4</v>
      </c>
      <c r="E615">
        <v>4701.2099609999996</v>
      </c>
      <c r="F615" s="289">
        <f t="shared" si="36"/>
        <v>3.0852853256519985E-3</v>
      </c>
    </row>
    <row r="616" spans="2:6" hidden="1" outlineLevel="1" x14ac:dyDescent="0.25">
      <c r="B616" s="291">
        <v>44539</v>
      </c>
      <c r="C616">
        <v>78</v>
      </c>
      <c r="D616" s="289">
        <f t="shared" si="36"/>
        <v>3.0863939535392682E-3</v>
      </c>
      <c r="E616">
        <v>4667.4501950000003</v>
      </c>
      <c r="F616" s="289">
        <f t="shared" si="36"/>
        <v>-7.1810802495658743E-3</v>
      </c>
    </row>
    <row r="617" spans="2:6" hidden="1" outlineLevel="1" x14ac:dyDescent="0.25">
      <c r="B617" s="291">
        <v>44540</v>
      </c>
      <c r="C617">
        <v>79.470000999999996</v>
      </c>
      <c r="D617" s="289">
        <f t="shared" si="36"/>
        <v>1.8846166666666608E-2</v>
      </c>
      <c r="E617">
        <v>4712.0200199999999</v>
      </c>
      <c r="F617" s="289">
        <f t="shared" si="36"/>
        <v>9.5490735065035803E-3</v>
      </c>
    </row>
    <row r="618" spans="2:6" hidden="1" outlineLevel="1" x14ac:dyDescent="0.25">
      <c r="B618" s="291">
        <v>44543</v>
      </c>
      <c r="C618">
        <v>81.139999000000003</v>
      </c>
      <c r="D618" s="289">
        <f t="shared" si="36"/>
        <v>2.1014193771055956E-2</v>
      </c>
      <c r="E618">
        <v>4668.9702150000003</v>
      </c>
      <c r="F618" s="289">
        <f t="shared" si="36"/>
        <v>-9.1361676769785571E-3</v>
      </c>
    </row>
    <row r="619" spans="2:6" hidden="1" outlineLevel="1" x14ac:dyDescent="0.25">
      <c r="B619" s="291">
        <v>44544</v>
      </c>
      <c r="C619">
        <v>82.129997000000003</v>
      </c>
      <c r="D619" s="289">
        <f t="shared" si="36"/>
        <v>1.2201109344356809E-2</v>
      </c>
      <c r="E619">
        <v>4634.0898440000001</v>
      </c>
      <c r="F619" s="289">
        <f t="shared" si="36"/>
        <v>-7.4706775571067308E-3</v>
      </c>
    </row>
    <row r="620" spans="2:6" hidden="1" outlineLevel="1" x14ac:dyDescent="0.25">
      <c r="B620" s="291">
        <v>44545</v>
      </c>
      <c r="C620">
        <v>82.760002</v>
      </c>
      <c r="D620" s="289">
        <f t="shared" si="36"/>
        <v>7.6708270182939131E-3</v>
      </c>
      <c r="E620">
        <v>4709.8500979999999</v>
      </c>
      <c r="F620" s="289">
        <f t="shared" si="36"/>
        <v>1.6348464650095318E-2</v>
      </c>
    </row>
    <row r="621" spans="2:6" hidden="1" outlineLevel="1" x14ac:dyDescent="0.25">
      <c r="B621" s="291">
        <v>44546</v>
      </c>
      <c r="C621">
        <v>83.949996999999996</v>
      </c>
      <c r="D621" s="289">
        <f t="shared" si="36"/>
        <v>1.4378866254739719E-2</v>
      </c>
      <c r="E621">
        <v>4668.669922</v>
      </c>
      <c r="F621" s="289">
        <f t="shared" si="36"/>
        <v>-8.743415425787493E-3</v>
      </c>
    </row>
    <row r="622" spans="2:6" hidden="1" outlineLevel="1" x14ac:dyDescent="0.25">
      <c r="B622" s="291">
        <v>44547</v>
      </c>
      <c r="C622">
        <v>82.480002999999996</v>
      </c>
      <c r="D622" s="289">
        <f t="shared" ref="D622:F637" si="37">C622/C621-1</f>
        <v>-1.7510352025384868E-2</v>
      </c>
      <c r="E622">
        <v>4620.6401370000003</v>
      </c>
      <c r="F622" s="289">
        <f t="shared" si="37"/>
        <v>-1.0287680603349281E-2</v>
      </c>
    </row>
    <row r="623" spans="2:6" hidden="1" outlineLevel="1" x14ac:dyDescent="0.25">
      <c r="B623" s="291">
        <v>44550</v>
      </c>
      <c r="C623">
        <v>82.519997000000004</v>
      </c>
      <c r="D623" s="289">
        <f t="shared" si="37"/>
        <v>4.8489328983181146E-4</v>
      </c>
      <c r="E623">
        <v>4568.0200199999999</v>
      </c>
      <c r="F623" s="289">
        <f t="shared" si="37"/>
        <v>-1.1388057810138075E-2</v>
      </c>
    </row>
    <row r="624" spans="2:6" hidden="1" outlineLevel="1" x14ac:dyDescent="0.25">
      <c r="B624" s="291">
        <v>44551</v>
      </c>
      <c r="C624">
        <v>82.089995999999999</v>
      </c>
      <c r="D624" s="289">
        <f t="shared" si="37"/>
        <v>-5.2108702815392149E-3</v>
      </c>
      <c r="E624">
        <v>4649.2299800000001</v>
      </c>
      <c r="F624" s="289">
        <f t="shared" si="37"/>
        <v>1.7777934344517243E-2</v>
      </c>
    </row>
    <row r="625" spans="2:6" hidden="1" outlineLevel="1" x14ac:dyDescent="0.25">
      <c r="B625" s="291">
        <v>44552</v>
      </c>
      <c r="C625">
        <v>82.459998999999996</v>
      </c>
      <c r="D625" s="289">
        <f t="shared" si="37"/>
        <v>4.507284907164566E-3</v>
      </c>
      <c r="E625">
        <v>4696.5600590000004</v>
      </c>
      <c r="F625" s="289">
        <f t="shared" si="37"/>
        <v>1.0180197409808578E-2</v>
      </c>
    </row>
    <row r="626" spans="2:6" hidden="1" outlineLevel="1" x14ac:dyDescent="0.25">
      <c r="B626" s="291">
        <v>44553</v>
      </c>
      <c r="C626">
        <v>82.790001000000004</v>
      </c>
      <c r="D626" s="289">
        <f t="shared" si="37"/>
        <v>4.0019646374238604E-3</v>
      </c>
      <c r="E626">
        <v>4725.7900390000004</v>
      </c>
      <c r="F626" s="289">
        <f t="shared" si="37"/>
        <v>6.2236998213163197E-3</v>
      </c>
    </row>
    <row r="627" spans="2:6" hidden="1" outlineLevel="1" x14ac:dyDescent="0.25">
      <c r="B627" s="291">
        <v>44557</v>
      </c>
      <c r="C627">
        <v>83.910004000000001</v>
      </c>
      <c r="D627" s="289">
        <f t="shared" si="37"/>
        <v>1.352823996221475E-2</v>
      </c>
      <c r="E627">
        <v>4791.1899409999996</v>
      </c>
      <c r="F627" s="289">
        <f t="shared" si="37"/>
        <v>1.3838935174919076E-2</v>
      </c>
    </row>
    <row r="628" spans="2:6" hidden="1" outlineLevel="1" x14ac:dyDescent="0.25">
      <c r="B628" s="291">
        <v>44558</v>
      </c>
      <c r="C628">
        <v>84.459998999999996</v>
      </c>
      <c r="D628" s="289">
        <f t="shared" si="37"/>
        <v>6.554581978091667E-3</v>
      </c>
      <c r="E628">
        <v>4786.3500979999999</v>
      </c>
      <c r="F628" s="289">
        <f t="shared" si="37"/>
        <v>-1.0101546921743587E-3</v>
      </c>
    </row>
    <row r="629" spans="2:6" hidden="1" outlineLevel="1" x14ac:dyDescent="0.25">
      <c r="B629" s="291">
        <v>44559</v>
      </c>
      <c r="C629">
        <v>84.910004000000001</v>
      </c>
      <c r="D629" s="289">
        <f t="shared" si="37"/>
        <v>5.3280251637228826E-3</v>
      </c>
      <c r="E629">
        <v>4793.0600590000004</v>
      </c>
      <c r="F629" s="289">
        <f t="shared" si="37"/>
        <v>1.4018951523844247E-3</v>
      </c>
    </row>
    <row r="630" spans="2:6" hidden="1" outlineLevel="1" x14ac:dyDescent="0.25">
      <c r="B630" s="291">
        <v>44560</v>
      </c>
      <c r="C630">
        <v>84.589995999999999</v>
      </c>
      <c r="D630" s="289">
        <f t="shared" si="37"/>
        <v>-3.7687903064991257E-3</v>
      </c>
      <c r="E630">
        <v>4778.7299800000001</v>
      </c>
      <c r="F630" s="289">
        <f t="shared" si="37"/>
        <v>-2.9897557768115979E-3</v>
      </c>
    </row>
    <row r="631" spans="2:6" hidden="1" outlineLevel="1" x14ac:dyDescent="0.25">
      <c r="B631" s="291">
        <v>44561</v>
      </c>
      <c r="C631">
        <v>85.339995999999999</v>
      </c>
      <c r="D631" s="289">
        <f t="shared" si="37"/>
        <v>8.8662966717718561E-3</v>
      </c>
      <c r="E631">
        <v>4766.1801759999998</v>
      </c>
      <c r="F631" s="289">
        <f t="shared" si="37"/>
        <v>-2.6261797700485312E-3</v>
      </c>
    </row>
    <row r="632" spans="2:6" hidden="1" outlineLevel="1" x14ac:dyDescent="0.25">
      <c r="B632" s="291">
        <v>44564</v>
      </c>
      <c r="C632">
        <v>84.589995999999999</v>
      </c>
      <c r="D632" s="289">
        <f t="shared" si="37"/>
        <v>-8.7883763200551357E-3</v>
      </c>
      <c r="E632">
        <v>4796.5600590000004</v>
      </c>
      <c r="F632" s="289">
        <f t="shared" si="37"/>
        <v>6.3740525700177741E-3</v>
      </c>
    </row>
    <row r="633" spans="2:6" hidden="1" outlineLevel="1" x14ac:dyDescent="0.25">
      <c r="B633" s="291">
        <v>44565</v>
      </c>
      <c r="C633">
        <v>84.870002999999997</v>
      </c>
      <c r="D633" s="289">
        <f t="shared" si="37"/>
        <v>3.3101668428971998E-3</v>
      </c>
      <c r="E633">
        <v>4793.5400390000004</v>
      </c>
      <c r="F633" s="289">
        <f t="shared" si="37"/>
        <v>-6.2962205473349186E-4</v>
      </c>
    </row>
    <row r="634" spans="2:6" hidden="1" outlineLevel="1" x14ac:dyDescent="0.25">
      <c r="B634" s="291">
        <v>44566</v>
      </c>
      <c r="C634">
        <v>85.220000999999996</v>
      </c>
      <c r="D634" s="289">
        <f t="shared" si="37"/>
        <v>4.1239305717946095E-3</v>
      </c>
      <c r="E634">
        <v>4700.580078</v>
      </c>
      <c r="F634" s="289">
        <f t="shared" si="37"/>
        <v>-1.9392757803978422E-2</v>
      </c>
    </row>
    <row r="635" spans="2:6" hidden="1" outlineLevel="1" x14ac:dyDescent="0.25">
      <c r="B635" s="291">
        <v>44567</v>
      </c>
      <c r="C635">
        <v>84.660004000000001</v>
      </c>
      <c r="D635" s="289">
        <f t="shared" si="37"/>
        <v>-6.571192131293202E-3</v>
      </c>
      <c r="E635">
        <v>4696.0498049999997</v>
      </c>
      <c r="F635" s="289">
        <f t="shared" si="37"/>
        <v>-9.6376892315974683E-4</v>
      </c>
    </row>
    <row r="636" spans="2:6" hidden="1" outlineLevel="1" x14ac:dyDescent="0.25">
      <c r="B636" s="291">
        <v>44568</v>
      </c>
      <c r="C636">
        <v>84.440002000000007</v>
      </c>
      <c r="D636" s="289">
        <f t="shared" si="37"/>
        <v>-2.598653314497712E-3</v>
      </c>
      <c r="E636">
        <v>4677.0297849999997</v>
      </c>
      <c r="F636" s="289">
        <f t="shared" si="37"/>
        <v>-4.0502168396401306E-3</v>
      </c>
    </row>
    <row r="637" spans="2:6" hidden="1" outlineLevel="1" x14ac:dyDescent="0.25">
      <c r="B637" s="291">
        <v>44571</v>
      </c>
      <c r="C637">
        <v>83.709998999999996</v>
      </c>
      <c r="D637" s="289">
        <f t="shared" si="37"/>
        <v>-8.6452271756224386E-3</v>
      </c>
      <c r="E637">
        <v>4670.2900390000004</v>
      </c>
      <c r="F637" s="289">
        <f t="shared" si="37"/>
        <v>-1.4410312334581787E-3</v>
      </c>
    </row>
    <row r="638" spans="2:6" hidden="1" outlineLevel="1" x14ac:dyDescent="0.25">
      <c r="B638" s="291">
        <v>44572</v>
      </c>
      <c r="C638">
        <v>83.169998000000007</v>
      </c>
      <c r="D638" s="289">
        <f t="shared" ref="D638:F653" si="38">C638/C637-1</f>
        <v>-6.4508542163521643E-3</v>
      </c>
      <c r="E638">
        <v>4713.0698240000002</v>
      </c>
      <c r="F638" s="289">
        <f t="shared" si="38"/>
        <v>9.1599846353782599E-3</v>
      </c>
    </row>
    <row r="639" spans="2:6" hidden="1" outlineLevel="1" x14ac:dyDescent="0.25">
      <c r="B639" s="291">
        <v>44573</v>
      </c>
      <c r="C639">
        <v>82.870002999999997</v>
      </c>
      <c r="D639" s="289">
        <f t="shared" si="38"/>
        <v>-3.6070098258269567E-3</v>
      </c>
      <c r="E639">
        <v>4726.3500979999999</v>
      </c>
      <c r="F639" s="289">
        <f t="shared" si="38"/>
        <v>2.8177545625089895E-3</v>
      </c>
    </row>
    <row r="640" spans="2:6" hidden="1" outlineLevel="1" x14ac:dyDescent="0.25">
      <c r="B640" s="291">
        <v>44574</v>
      </c>
      <c r="C640">
        <v>82.540001000000004</v>
      </c>
      <c r="D640" s="289">
        <f t="shared" si="38"/>
        <v>-3.9821646923313692E-3</v>
      </c>
      <c r="E640">
        <v>4659.0297849999997</v>
      </c>
      <c r="F640" s="289">
        <f t="shared" si="38"/>
        <v>-1.4243615391184683E-2</v>
      </c>
    </row>
    <row r="641" spans="2:6" hidden="1" outlineLevel="1" x14ac:dyDescent="0.25">
      <c r="B641" s="291">
        <v>44575</v>
      </c>
      <c r="C641">
        <v>83.449996999999996</v>
      </c>
      <c r="D641" s="289">
        <f t="shared" si="38"/>
        <v>1.1024909001394301E-2</v>
      </c>
      <c r="E641">
        <v>4662.8500979999999</v>
      </c>
      <c r="F641" s="289">
        <f t="shared" si="38"/>
        <v>8.1998037709474225E-4</v>
      </c>
    </row>
    <row r="642" spans="2:6" hidden="1" outlineLevel="1" x14ac:dyDescent="0.25">
      <c r="B642" s="291">
        <v>44579</v>
      </c>
      <c r="C642">
        <v>83.120002999999997</v>
      </c>
      <c r="D642" s="289">
        <f t="shared" si="38"/>
        <v>-3.9543919935670635E-3</v>
      </c>
      <c r="E642">
        <v>4577.1098629999997</v>
      </c>
      <c r="F642" s="289">
        <f t="shared" si="38"/>
        <v>-1.8387945826690011E-2</v>
      </c>
    </row>
    <row r="643" spans="2:6" hidden="1" outlineLevel="1" x14ac:dyDescent="0.25">
      <c r="B643" s="291">
        <v>44580</v>
      </c>
      <c r="C643">
        <v>84.059997999999993</v>
      </c>
      <c r="D643" s="289">
        <f t="shared" si="38"/>
        <v>1.1308890352181411E-2</v>
      </c>
      <c r="E643">
        <v>4532.7597660000001</v>
      </c>
      <c r="F643" s="289">
        <f t="shared" si="38"/>
        <v>-9.6895417255575822E-3</v>
      </c>
    </row>
    <row r="644" spans="2:6" hidden="1" outlineLevel="1" x14ac:dyDescent="0.25">
      <c r="B644" s="291">
        <v>44581</v>
      </c>
      <c r="C644">
        <v>83.290001000000004</v>
      </c>
      <c r="D644" s="289">
        <f t="shared" si="38"/>
        <v>-9.1600882502993475E-3</v>
      </c>
      <c r="E644">
        <v>4482.7299800000001</v>
      </c>
      <c r="F644" s="289">
        <f t="shared" si="38"/>
        <v>-1.1037378679380039E-2</v>
      </c>
    </row>
    <row r="645" spans="2:6" hidden="1" outlineLevel="1" x14ac:dyDescent="0.25">
      <c r="B645" s="291">
        <v>44582</v>
      </c>
      <c r="C645">
        <v>83.669998000000007</v>
      </c>
      <c r="D645" s="289">
        <f t="shared" si="38"/>
        <v>4.5623363601592359E-3</v>
      </c>
      <c r="E645">
        <v>4397.9399409999996</v>
      </c>
      <c r="F645" s="289">
        <f t="shared" si="38"/>
        <v>-1.8914821855944175E-2</v>
      </c>
    </row>
    <row r="646" spans="2:6" hidden="1" outlineLevel="1" x14ac:dyDescent="0.25">
      <c r="B646" s="291">
        <v>44585</v>
      </c>
      <c r="C646">
        <v>83.669998000000007</v>
      </c>
      <c r="D646" s="289">
        <f t="shared" si="38"/>
        <v>0</v>
      </c>
      <c r="E646">
        <v>4410.1298829999996</v>
      </c>
      <c r="F646" s="289">
        <f t="shared" si="38"/>
        <v>2.771739078644142E-3</v>
      </c>
    </row>
    <row r="647" spans="2:6" hidden="1" outlineLevel="1" x14ac:dyDescent="0.25">
      <c r="B647" s="291">
        <v>44586</v>
      </c>
      <c r="C647">
        <v>81.739998</v>
      </c>
      <c r="D647" s="289">
        <f t="shared" si="38"/>
        <v>-2.3066810638623481E-2</v>
      </c>
      <c r="E647">
        <v>4356.4501950000003</v>
      </c>
      <c r="F647" s="289">
        <f t="shared" si="38"/>
        <v>-1.2171906366504448E-2</v>
      </c>
    </row>
    <row r="648" spans="2:6" hidden="1" outlineLevel="1" x14ac:dyDescent="0.25">
      <c r="B648" s="291">
        <v>44587</v>
      </c>
      <c r="C648">
        <v>81.389999000000003</v>
      </c>
      <c r="D648" s="289">
        <f t="shared" si="38"/>
        <v>-4.2818572126708254E-3</v>
      </c>
      <c r="E648">
        <v>4349.9301759999998</v>
      </c>
      <c r="F648" s="289">
        <f t="shared" si="38"/>
        <v>-1.4966357259136309E-3</v>
      </c>
    </row>
    <row r="649" spans="2:6" hidden="1" outlineLevel="1" x14ac:dyDescent="0.25">
      <c r="B649" s="291">
        <v>44588</v>
      </c>
      <c r="C649">
        <v>82.699996999999996</v>
      </c>
      <c r="D649" s="289">
        <f t="shared" si="38"/>
        <v>1.6095319032993105E-2</v>
      </c>
      <c r="E649">
        <v>4326.5097660000001</v>
      </c>
      <c r="F649" s="289">
        <f t="shared" si="38"/>
        <v>-5.3840887215196309E-3</v>
      </c>
    </row>
    <row r="650" spans="2:6" hidden="1" outlineLevel="1" x14ac:dyDescent="0.25">
      <c r="B650" s="291">
        <v>44589</v>
      </c>
      <c r="C650">
        <v>83.050003000000004</v>
      </c>
      <c r="D650" s="289">
        <f t="shared" si="38"/>
        <v>4.232237154736529E-3</v>
      </c>
      <c r="E650">
        <v>4431.8500979999999</v>
      </c>
      <c r="F650" s="289">
        <f t="shared" si="38"/>
        <v>2.434764687874269E-2</v>
      </c>
    </row>
    <row r="651" spans="2:6" hidden="1" outlineLevel="1" x14ac:dyDescent="0.25">
      <c r="B651" s="291">
        <v>44592</v>
      </c>
      <c r="C651">
        <v>82.449996999999996</v>
      </c>
      <c r="D651" s="289">
        <f t="shared" si="38"/>
        <v>-7.2246355006152507E-3</v>
      </c>
      <c r="E651">
        <v>4515.5498049999997</v>
      </c>
      <c r="F651" s="289">
        <f t="shared" si="38"/>
        <v>1.8885951724263439E-2</v>
      </c>
    </row>
    <row r="652" spans="2:6" hidden="1" outlineLevel="1" x14ac:dyDescent="0.25">
      <c r="B652" s="291">
        <v>44593</v>
      </c>
      <c r="C652">
        <v>81.919998000000007</v>
      </c>
      <c r="D652" s="289">
        <f t="shared" si="38"/>
        <v>-6.4281263709444758E-3</v>
      </c>
      <c r="E652">
        <v>4546.5400390000004</v>
      </c>
      <c r="F652" s="289">
        <f t="shared" si="38"/>
        <v>6.8630034742802604E-3</v>
      </c>
    </row>
    <row r="653" spans="2:6" hidden="1" outlineLevel="1" x14ac:dyDescent="0.25">
      <c r="B653" s="291">
        <v>44594</v>
      </c>
      <c r="C653">
        <v>82.800003000000004</v>
      </c>
      <c r="D653" s="289">
        <f t="shared" si="38"/>
        <v>1.0742248797418252E-2</v>
      </c>
      <c r="E653">
        <v>4589.3798829999996</v>
      </c>
      <c r="F653" s="289">
        <f t="shared" si="38"/>
        <v>9.4225155024525442E-3</v>
      </c>
    </row>
    <row r="654" spans="2:6" hidden="1" outlineLevel="1" x14ac:dyDescent="0.25">
      <c r="B654" s="291">
        <v>44595</v>
      </c>
      <c r="C654">
        <v>82.730002999999996</v>
      </c>
      <c r="D654" s="289">
        <f t="shared" ref="D654:F669" si="39">C654/C653-1</f>
        <v>-8.4541059738862945E-4</v>
      </c>
      <c r="E654">
        <v>4477.4399409999996</v>
      </c>
      <c r="F654" s="289">
        <f t="shared" si="39"/>
        <v>-2.4391082205822312E-2</v>
      </c>
    </row>
    <row r="655" spans="2:6" hidden="1" outlineLevel="1" x14ac:dyDescent="0.25">
      <c r="B655" s="291">
        <v>44596</v>
      </c>
      <c r="C655">
        <v>81.120002999999997</v>
      </c>
      <c r="D655" s="289">
        <f t="shared" si="39"/>
        <v>-1.9460896187807442E-2</v>
      </c>
      <c r="E655">
        <v>4500.5297849999997</v>
      </c>
      <c r="F655" s="289">
        <f t="shared" si="39"/>
        <v>5.1569299207268049E-3</v>
      </c>
    </row>
    <row r="656" spans="2:6" hidden="1" outlineLevel="1" x14ac:dyDescent="0.25">
      <c r="B656" s="291">
        <v>44599</v>
      </c>
      <c r="C656">
        <v>81.120002999999997</v>
      </c>
      <c r="D656" s="289">
        <f t="shared" si="39"/>
        <v>0</v>
      </c>
      <c r="E656">
        <v>4483.8701170000004</v>
      </c>
      <c r="F656" s="289">
        <f t="shared" si="39"/>
        <v>-3.7017126418149582E-3</v>
      </c>
    </row>
    <row r="657" spans="2:6" hidden="1" outlineLevel="1" x14ac:dyDescent="0.25">
      <c r="B657" s="291">
        <v>44600</v>
      </c>
      <c r="C657">
        <v>80.919998000000007</v>
      </c>
      <c r="D657" s="289">
        <f t="shared" si="39"/>
        <v>-2.4655447806133379E-3</v>
      </c>
      <c r="E657">
        <v>4521.5400390000004</v>
      </c>
      <c r="F657" s="289">
        <f t="shared" si="39"/>
        <v>8.4012072198924592E-3</v>
      </c>
    </row>
    <row r="658" spans="2:6" hidden="1" outlineLevel="1" x14ac:dyDescent="0.25">
      <c r="B658" s="291">
        <v>44601</v>
      </c>
      <c r="C658">
        <v>80.870002999999997</v>
      </c>
      <c r="D658" s="289">
        <f t="shared" si="39"/>
        <v>-6.1783244235880108E-4</v>
      </c>
      <c r="E658">
        <v>4587.1801759999998</v>
      </c>
      <c r="F658" s="289">
        <f t="shared" si="39"/>
        <v>1.4517207949908295E-2</v>
      </c>
    </row>
    <row r="659" spans="2:6" hidden="1" outlineLevel="1" x14ac:dyDescent="0.25">
      <c r="B659" s="291">
        <v>44602</v>
      </c>
      <c r="C659">
        <v>79.720000999999996</v>
      </c>
      <c r="D659" s="289">
        <f t="shared" si="39"/>
        <v>-1.422037785753516E-2</v>
      </c>
      <c r="E659">
        <v>4504.080078</v>
      </c>
      <c r="F659" s="289">
        <f t="shared" si="39"/>
        <v>-1.8115725742532951E-2</v>
      </c>
    </row>
    <row r="660" spans="2:6" hidden="1" outlineLevel="1" x14ac:dyDescent="0.25">
      <c r="B660" s="291">
        <v>44603</v>
      </c>
      <c r="C660">
        <v>79.529999000000004</v>
      </c>
      <c r="D660" s="289">
        <f t="shared" si="39"/>
        <v>-2.3833667538463166E-3</v>
      </c>
      <c r="E660">
        <v>4418.6401370000003</v>
      </c>
      <c r="F660" s="289">
        <f t="shared" si="39"/>
        <v>-1.8969454254893825E-2</v>
      </c>
    </row>
    <row r="661" spans="2:6" hidden="1" outlineLevel="1" x14ac:dyDescent="0.25">
      <c r="B661" s="291">
        <v>44606</v>
      </c>
      <c r="C661">
        <v>79.260002</v>
      </c>
      <c r="D661" s="289">
        <f t="shared" si="39"/>
        <v>-3.3949076247317134E-3</v>
      </c>
      <c r="E661">
        <v>4401.669922</v>
      </c>
      <c r="F661" s="289">
        <f t="shared" si="39"/>
        <v>-3.8405967614104641E-3</v>
      </c>
    </row>
    <row r="662" spans="2:6" hidden="1" outlineLevel="1" x14ac:dyDescent="0.25">
      <c r="B662" s="291">
        <v>44607</v>
      </c>
      <c r="C662">
        <v>78.580001999999993</v>
      </c>
      <c r="D662" s="289">
        <f t="shared" si="39"/>
        <v>-8.5793588549241129E-3</v>
      </c>
      <c r="E662">
        <v>4471.0698240000002</v>
      </c>
      <c r="F662" s="289">
        <f t="shared" si="39"/>
        <v>1.5766721092177471E-2</v>
      </c>
    </row>
    <row r="663" spans="2:6" hidden="1" outlineLevel="1" x14ac:dyDescent="0.25">
      <c r="B663" s="291">
        <v>44608</v>
      </c>
      <c r="C663">
        <v>78.339995999999999</v>
      </c>
      <c r="D663" s="289">
        <f t="shared" si="39"/>
        <v>-3.0542885453221924E-3</v>
      </c>
      <c r="E663">
        <v>4475.0097660000001</v>
      </c>
      <c r="F663" s="289">
        <f t="shared" si="39"/>
        <v>8.8120788873635725E-4</v>
      </c>
    </row>
    <row r="664" spans="2:6" hidden="1" outlineLevel="1" x14ac:dyDescent="0.25">
      <c r="B664" s="291">
        <v>44609</v>
      </c>
      <c r="C664">
        <v>79.150002000000001</v>
      </c>
      <c r="D664" s="289">
        <f t="shared" si="39"/>
        <v>1.0339622687751904E-2</v>
      </c>
      <c r="E664">
        <v>4380.2597660000001</v>
      </c>
      <c r="F664" s="289">
        <f t="shared" si="39"/>
        <v>-2.1173138150420767E-2</v>
      </c>
    </row>
    <row r="665" spans="2:6" hidden="1" outlineLevel="1" x14ac:dyDescent="0.25">
      <c r="B665" s="291">
        <v>44610</v>
      </c>
      <c r="C665">
        <v>79.550003000000004</v>
      </c>
      <c r="D665" s="289">
        <f t="shared" si="39"/>
        <v>5.0537080213846064E-3</v>
      </c>
      <c r="E665">
        <v>4348.8701170000004</v>
      </c>
      <c r="F665" s="289">
        <f t="shared" si="39"/>
        <v>-7.166161523946446E-3</v>
      </c>
    </row>
    <row r="666" spans="2:6" hidden="1" outlineLevel="1" x14ac:dyDescent="0.25">
      <c r="B666" s="291">
        <v>44614</v>
      </c>
      <c r="C666">
        <v>78.849997999999999</v>
      </c>
      <c r="D666" s="289">
        <f t="shared" si="39"/>
        <v>-8.7995596932913811E-3</v>
      </c>
      <c r="E666">
        <v>4304.7597660000001</v>
      </c>
      <c r="F666" s="289">
        <f t="shared" si="39"/>
        <v>-1.0142945135926285E-2</v>
      </c>
    </row>
    <row r="667" spans="2:6" hidden="1" outlineLevel="1" x14ac:dyDescent="0.25">
      <c r="B667" s="291">
        <v>44615</v>
      </c>
      <c r="C667">
        <v>78.639999000000003</v>
      </c>
      <c r="D667" s="289">
        <f t="shared" si="39"/>
        <v>-2.6632721030632744E-3</v>
      </c>
      <c r="E667">
        <v>4225.5</v>
      </c>
      <c r="F667" s="289">
        <f t="shared" si="39"/>
        <v>-1.8412122930996588E-2</v>
      </c>
    </row>
    <row r="668" spans="2:6" hidden="1" outlineLevel="1" x14ac:dyDescent="0.25">
      <c r="B668" s="291">
        <v>44616</v>
      </c>
      <c r="C668">
        <v>75.580001999999993</v>
      </c>
      <c r="D668" s="289">
        <f t="shared" si="39"/>
        <v>-3.8911457768457169E-2</v>
      </c>
      <c r="E668">
        <v>4288.7001950000003</v>
      </c>
      <c r="F668" s="289">
        <f t="shared" si="39"/>
        <v>1.4956855993373708E-2</v>
      </c>
    </row>
    <row r="669" spans="2:6" hidden="1" outlineLevel="1" x14ac:dyDescent="0.25">
      <c r="B669" s="291">
        <v>44617</v>
      </c>
      <c r="C669">
        <v>78.139999000000003</v>
      </c>
      <c r="D669" s="289">
        <f t="shared" si="39"/>
        <v>3.387135395947749E-2</v>
      </c>
      <c r="E669">
        <v>4384.6499020000001</v>
      </c>
      <c r="F669" s="289">
        <f t="shared" si="39"/>
        <v>2.2372677649946882E-2</v>
      </c>
    </row>
    <row r="670" spans="2:6" hidden="1" outlineLevel="1" x14ac:dyDescent="0.25">
      <c r="B670" s="291">
        <v>44620</v>
      </c>
      <c r="C670">
        <v>76.949996999999996</v>
      </c>
      <c r="D670" s="289">
        <f t="shared" ref="D670:F685" si="40">C670/C669-1</f>
        <v>-1.522910180738557E-2</v>
      </c>
      <c r="E670">
        <v>4373.9399409999996</v>
      </c>
      <c r="F670" s="289">
        <f t="shared" si="40"/>
        <v>-2.4426034550935061E-3</v>
      </c>
    </row>
    <row r="671" spans="2:6" hidden="1" outlineLevel="1" x14ac:dyDescent="0.25">
      <c r="B671" s="291">
        <v>44621</v>
      </c>
      <c r="C671">
        <v>76.040001000000004</v>
      </c>
      <c r="D671" s="289">
        <f t="shared" si="40"/>
        <v>-1.1825809427906675E-2</v>
      </c>
      <c r="E671">
        <v>4306.2597660000001</v>
      </c>
      <c r="F671" s="289">
        <f t="shared" si="40"/>
        <v>-1.5473503503234176E-2</v>
      </c>
    </row>
    <row r="672" spans="2:6" hidden="1" outlineLevel="1" x14ac:dyDescent="0.25">
      <c r="B672" s="291">
        <v>44622</v>
      </c>
      <c r="C672">
        <v>76.699996999999996</v>
      </c>
      <c r="D672" s="289">
        <f t="shared" si="40"/>
        <v>8.6795895754918639E-3</v>
      </c>
      <c r="E672">
        <v>4386.5400390000004</v>
      </c>
      <c r="F672" s="289">
        <f t="shared" si="40"/>
        <v>1.8642691654101373E-2</v>
      </c>
    </row>
    <row r="673" spans="2:6" hidden="1" outlineLevel="1" x14ac:dyDescent="0.25">
      <c r="B673" s="291">
        <v>44623</v>
      </c>
      <c r="C673">
        <v>77.400002000000001</v>
      </c>
      <c r="D673" s="289">
        <f t="shared" si="40"/>
        <v>9.1265322996036957E-3</v>
      </c>
      <c r="E673">
        <v>4363.4902339999999</v>
      </c>
      <c r="F673" s="289">
        <f t="shared" si="40"/>
        <v>-5.2546665014039373E-3</v>
      </c>
    </row>
    <row r="674" spans="2:6" hidden="1" outlineLevel="1" x14ac:dyDescent="0.25">
      <c r="B674" s="291">
        <v>44624</v>
      </c>
      <c r="C674">
        <v>77.360000999999997</v>
      </c>
      <c r="D674" s="289">
        <f t="shared" si="40"/>
        <v>-5.1680877217552545E-4</v>
      </c>
      <c r="E674">
        <v>4328.8701170000004</v>
      </c>
      <c r="F674" s="289">
        <f t="shared" si="40"/>
        <v>-7.9340425080459687E-3</v>
      </c>
    </row>
    <row r="675" spans="2:6" hidden="1" outlineLevel="1" x14ac:dyDescent="0.25">
      <c r="B675" s="291">
        <v>44627</v>
      </c>
      <c r="C675">
        <v>76.680000000000007</v>
      </c>
      <c r="D675" s="289">
        <f t="shared" si="40"/>
        <v>-8.7900852017825937E-3</v>
      </c>
      <c r="E675">
        <v>4201.0898440000001</v>
      </c>
      <c r="F675" s="289">
        <f t="shared" si="40"/>
        <v>-2.9518158213662216E-2</v>
      </c>
    </row>
    <row r="676" spans="2:6" hidden="1" outlineLevel="1" x14ac:dyDescent="0.25">
      <c r="B676" s="291">
        <v>44628</v>
      </c>
      <c r="C676">
        <v>74.870002999999997</v>
      </c>
      <c r="D676" s="289">
        <f t="shared" si="40"/>
        <v>-2.3604551382368388E-2</v>
      </c>
      <c r="E676">
        <v>4170.7001950000003</v>
      </c>
      <c r="F676" s="289">
        <f t="shared" si="40"/>
        <v>-7.2337536516631218E-3</v>
      </c>
    </row>
    <row r="677" spans="2:6" hidden="1" outlineLevel="1" x14ac:dyDescent="0.25">
      <c r="B677" s="291">
        <v>44629</v>
      </c>
      <c r="C677">
        <v>75.540001000000004</v>
      </c>
      <c r="D677" s="289">
        <f t="shared" si="40"/>
        <v>8.9488175925411806E-3</v>
      </c>
      <c r="E677">
        <v>4277.8798829999996</v>
      </c>
      <c r="F677" s="289">
        <f t="shared" si="40"/>
        <v>2.5698248013245051E-2</v>
      </c>
    </row>
    <row r="678" spans="2:6" hidden="1" outlineLevel="1" x14ac:dyDescent="0.25">
      <c r="B678" s="291">
        <v>44630</v>
      </c>
      <c r="C678">
        <v>73.839995999999999</v>
      </c>
      <c r="D678" s="289">
        <f t="shared" si="40"/>
        <v>-2.2504699199037637E-2</v>
      </c>
      <c r="E678">
        <v>4259.5200199999999</v>
      </c>
      <c r="F678" s="289">
        <f t="shared" si="40"/>
        <v>-4.2918135857344941E-3</v>
      </c>
    </row>
    <row r="679" spans="2:6" hidden="1" outlineLevel="1" x14ac:dyDescent="0.25">
      <c r="B679" s="291">
        <v>44631</v>
      </c>
      <c r="C679">
        <v>73.769997000000004</v>
      </c>
      <c r="D679" s="289">
        <f t="shared" si="40"/>
        <v>-9.4798217486358194E-4</v>
      </c>
      <c r="E679">
        <v>4204.3100590000004</v>
      </c>
      <c r="F679" s="289">
        <f t="shared" si="40"/>
        <v>-1.2961545136721653E-2</v>
      </c>
    </row>
    <row r="680" spans="2:6" hidden="1" outlineLevel="1" x14ac:dyDescent="0.25">
      <c r="B680" s="291">
        <v>44634</v>
      </c>
      <c r="C680">
        <v>73.959998999999996</v>
      </c>
      <c r="D680" s="289">
        <f t="shared" si="40"/>
        <v>2.5755999420740139E-3</v>
      </c>
      <c r="E680">
        <v>4173.1098629999997</v>
      </c>
      <c r="F680" s="289">
        <f t="shared" si="40"/>
        <v>-7.4210026287694353E-3</v>
      </c>
    </row>
    <row r="681" spans="2:6" hidden="1" outlineLevel="1" x14ac:dyDescent="0.25">
      <c r="B681" s="291">
        <v>44635</v>
      </c>
      <c r="C681">
        <v>75.489998</v>
      </c>
      <c r="D681" s="289">
        <f t="shared" si="40"/>
        <v>2.0686844519832936E-2</v>
      </c>
      <c r="E681">
        <v>4262.4501950000003</v>
      </c>
      <c r="F681" s="289">
        <f t="shared" si="40"/>
        <v>2.1408574164825556E-2</v>
      </c>
    </row>
    <row r="682" spans="2:6" hidden="1" outlineLevel="1" x14ac:dyDescent="0.25">
      <c r="B682" s="291">
        <v>44636</v>
      </c>
      <c r="C682">
        <v>75.150002000000001</v>
      </c>
      <c r="D682" s="289">
        <f t="shared" si="40"/>
        <v>-4.5038549345305379E-3</v>
      </c>
      <c r="E682">
        <v>4357.8598629999997</v>
      </c>
      <c r="F682" s="289">
        <f t="shared" si="40"/>
        <v>2.2383761366154609E-2</v>
      </c>
    </row>
    <row r="683" spans="2:6" hidden="1" outlineLevel="1" x14ac:dyDescent="0.25">
      <c r="B683" s="291">
        <v>44637</v>
      </c>
      <c r="C683">
        <v>75.129997000000003</v>
      </c>
      <c r="D683" s="289">
        <f t="shared" si="40"/>
        <v>-2.6620092438578435E-4</v>
      </c>
      <c r="E683">
        <v>4411.669922</v>
      </c>
      <c r="F683" s="289">
        <f t="shared" si="40"/>
        <v>1.2347817665471439E-2</v>
      </c>
    </row>
    <row r="684" spans="2:6" hidden="1" outlineLevel="1" x14ac:dyDescent="0.25">
      <c r="B684" s="291">
        <v>44638</v>
      </c>
      <c r="C684">
        <v>72.199996999999996</v>
      </c>
      <c r="D684" s="289">
        <f t="shared" si="40"/>
        <v>-3.8999069838908773E-2</v>
      </c>
      <c r="E684">
        <v>4463.1201170000004</v>
      </c>
      <c r="F684" s="289">
        <f t="shared" si="40"/>
        <v>1.1662294756783487E-2</v>
      </c>
    </row>
    <row r="685" spans="2:6" hidden="1" outlineLevel="1" x14ac:dyDescent="0.25">
      <c r="B685" s="291">
        <v>44641</v>
      </c>
      <c r="C685">
        <v>74.150002000000001</v>
      </c>
      <c r="D685" s="289">
        <f t="shared" si="40"/>
        <v>2.700838062361699E-2</v>
      </c>
      <c r="E685">
        <v>4461.1801759999998</v>
      </c>
      <c r="F685" s="289">
        <f t="shared" si="40"/>
        <v>-4.3466027109850813E-4</v>
      </c>
    </row>
    <row r="686" spans="2:6" hidden="1" outlineLevel="1" x14ac:dyDescent="0.25">
      <c r="B686" s="291">
        <v>44642</v>
      </c>
      <c r="C686">
        <v>74.5</v>
      </c>
      <c r="D686" s="289">
        <f t="shared" ref="D686:F701" si="41">C686/C685-1</f>
        <v>4.7201347344534295E-3</v>
      </c>
      <c r="E686">
        <v>4511.6098629999997</v>
      </c>
      <c r="F686" s="289">
        <f t="shared" si="41"/>
        <v>1.1304113488017853E-2</v>
      </c>
    </row>
    <row r="687" spans="2:6" hidden="1" outlineLevel="1" x14ac:dyDescent="0.25">
      <c r="B687" s="291">
        <v>44643</v>
      </c>
      <c r="C687">
        <v>73.629997000000003</v>
      </c>
      <c r="D687" s="289">
        <f t="shared" si="41"/>
        <v>-1.167789261744967E-2</v>
      </c>
      <c r="E687">
        <v>4456.2402339999999</v>
      </c>
      <c r="F687" s="289">
        <f t="shared" si="41"/>
        <v>-1.2272698810703808E-2</v>
      </c>
    </row>
    <row r="688" spans="2:6" hidden="1" outlineLevel="1" x14ac:dyDescent="0.25">
      <c r="B688" s="291">
        <v>44644</v>
      </c>
      <c r="C688">
        <v>73.650002000000001</v>
      </c>
      <c r="D688" s="289">
        <f t="shared" si="41"/>
        <v>2.7169633050494468E-4</v>
      </c>
      <c r="E688">
        <v>4520.1601559999999</v>
      </c>
      <c r="F688" s="289">
        <f t="shared" si="41"/>
        <v>1.4343912949824178E-2</v>
      </c>
    </row>
    <row r="689" spans="2:6" hidden="1" outlineLevel="1" x14ac:dyDescent="0.25">
      <c r="B689" s="291">
        <v>44645</v>
      </c>
      <c r="C689">
        <v>74.779999000000004</v>
      </c>
      <c r="D689" s="289">
        <f t="shared" si="41"/>
        <v>1.5342796596258035E-2</v>
      </c>
      <c r="E689">
        <v>4543.0600590000004</v>
      </c>
      <c r="F689" s="289">
        <f t="shared" si="41"/>
        <v>5.0661707129122657E-3</v>
      </c>
    </row>
    <row r="690" spans="2:6" hidden="1" outlineLevel="1" x14ac:dyDescent="0.25">
      <c r="B690" s="291">
        <v>44648</v>
      </c>
      <c r="C690">
        <v>75.389999000000003</v>
      </c>
      <c r="D690" s="289">
        <f t="shared" si="41"/>
        <v>8.1572614088962769E-3</v>
      </c>
      <c r="E690">
        <v>4575.5200199999999</v>
      </c>
      <c r="F690" s="289">
        <f t="shared" si="41"/>
        <v>7.1449552897049351E-3</v>
      </c>
    </row>
    <row r="691" spans="2:6" hidden="1" outlineLevel="1" x14ac:dyDescent="0.25">
      <c r="B691" s="291">
        <v>44649</v>
      </c>
      <c r="C691">
        <v>76.199996999999996</v>
      </c>
      <c r="D691" s="289">
        <f t="shared" si="41"/>
        <v>1.074410413508553E-2</v>
      </c>
      <c r="E691">
        <v>4631.6000979999999</v>
      </c>
      <c r="F691" s="289">
        <f t="shared" si="41"/>
        <v>1.2256547398955542E-2</v>
      </c>
    </row>
    <row r="692" spans="2:6" hidden="1" outlineLevel="1" x14ac:dyDescent="0.25">
      <c r="B692" s="291">
        <v>44650</v>
      </c>
      <c r="C692">
        <v>76.360000999999997</v>
      </c>
      <c r="D692" s="289">
        <f t="shared" si="41"/>
        <v>2.0997901089157001E-3</v>
      </c>
      <c r="E692">
        <v>4602.4501950000003</v>
      </c>
      <c r="F692" s="289">
        <f t="shared" si="41"/>
        <v>-6.2937003159203586E-3</v>
      </c>
    </row>
    <row r="693" spans="2:6" hidden="1" outlineLevel="1" x14ac:dyDescent="0.25">
      <c r="B693" s="291">
        <v>44651</v>
      </c>
      <c r="C693">
        <v>75.830001999999993</v>
      </c>
      <c r="D693" s="289">
        <f t="shared" si="41"/>
        <v>-6.9407935183238845E-3</v>
      </c>
      <c r="E693">
        <v>4530.4101559999999</v>
      </c>
      <c r="F693" s="289">
        <f t="shared" si="41"/>
        <v>-1.5652540700660467E-2</v>
      </c>
    </row>
    <row r="694" spans="2:6" hidden="1" outlineLevel="1" x14ac:dyDescent="0.25">
      <c r="B694" s="291">
        <v>44652</v>
      </c>
      <c r="C694">
        <v>76.419998000000007</v>
      </c>
      <c r="D694" s="289">
        <f t="shared" si="41"/>
        <v>7.7805088281550638E-3</v>
      </c>
      <c r="E694">
        <v>4545.8598629999997</v>
      </c>
      <c r="F694" s="289">
        <f t="shared" si="41"/>
        <v>3.4102225776486694E-3</v>
      </c>
    </row>
    <row r="695" spans="2:6" hidden="1" outlineLevel="1" x14ac:dyDescent="0.25">
      <c r="B695" s="291">
        <v>44655</v>
      </c>
      <c r="C695">
        <v>76.589995999999999</v>
      </c>
      <c r="D695" s="289">
        <f t="shared" si="41"/>
        <v>2.224522434559395E-3</v>
      </c>
      <c r="E695">
        <v>4582.6401370000003</v>
      </c>
      <c r="F695" s="289">
        <f t="shared" si="41"/>
        <v>8.0909388121190862E-3</v>
      </c>
    </row>
    <row r="696" spans="2:6" hidden="1" outlineLevel="1" x14ac:dyDescent="0.25">
      <c r="B696" s="291">
        <v>44656</v>
      </c>
      <c r="C696">
        <v>77.449996999999996</v>
      </c>
      <c r="D696" s="289">
        <f t="shared" si="41"/>
        <v>1.1228633567235136E-2</v>
      </c>
      <c r="E696">
        <v>4525.1201170000004</v>
      </c>
      <c r="F696" s="289">
        <f t="shared" si="41"/>
        <v>-1.2551720903325236E-2</v>
      </c>
    </row>
    <row r="697" spans="2:6" hidden="1" outlineLevel="1" x14ac:dyDescent="0.25">
      <c r="B697" s="291">
        <v>44657</v>
      </c>
      <c r="C697">
        <v>78.809997999999993</v>
      </c>
      <c r="D697" s="289">
        <f t="shared" si="41"/>
        <v>1.7559729537497626E-2</v>
      </c>
      <c r="E697">
        <v>4481.1499020000001</v>
      </c>
      <c r="F697" s="289">
        <f t="shared" si="41"/>
        <v>-9.7169166482040659E-3</v>
      </c>
    </row>
    <row r="698" spans="2:6" hidden="1" outlineLevel="1" x14ac:dyDescent="0.25">
      <c r="B698" s="291">
        <v>44658</v>
      </c>
      <c r="C698">
        <v>80.419998000000007</v>
      </c>
      <c r="D698" s="289">
        <f t="shared" si="41"/>
        <v>2.0428880102242974E-2</v>
      </c>
      <c r="E698">
        <v>4500.2099609999996</v>
      </c>
      <c r="F698" s="289">
        <f t="shared" si="41"/>
        <v>4.2533857194761993E-3</v>
      </c>
    </row>
    <row r="699" spans="2:6" hidden="1" outlineLevel="1" x14ac:dyDescent="0.25">
      <c r="B699" s="291">
        <v>44659</v>
      </c>
      <c r="C699">
        <v>80.25</v>
      </c>
      <c r="D699" s="289">
        <f t="shared" si="41"/>
        <v>-2.1138771975598436E-3</v>
      </c>
      <c r="E699">
        <v>4488.2797849999997</v>
      </c>
      <c r="F699" s="289">
        <f t="shared" si="41"/>
        <v>-2.6510265306263214E-3</v>
      </c>
    </row>
    <row r="700" spans="2:6" hidden="1" outlineLevel="1" x14ac:dyDescent="0.25">
      <c r="B700" s="291">
        <v>44662</v>
      </c>
      <c r="C700">
        <v>80.440002000000007</v>
      </c>
      <c r="D700" s="289">
        <f t="shared" si="41"/>
        <v>2.3676261682243904E-3</v>
      </c>
      <c r="E700">
        <v>4412.5297849999997</v>
      </c>
      <c r="F700" s="289">
        <f t="shared" si="41"/>
        <v>-1.687729010414174E-2</v>
      </c>
    </row>
    <row r="701" spans="2:6" hidden="1" outlineLevel="1" x14ac:dyDescent="0.25">
      <c r="B701" s="291">
        <v>44663</v>
      </c>
      <c r="C701">
        <v>81</v>
      </c>
      <c r="D701" s="289">
        <f t="shared" si="41"/>
        <v>6.9616855554031076E-3</v>
      </c>
      <c r="E701">
        <v>4397.4501950000003</v>
      </c>
      <c r="F701" s="289">
        <f t="shared" si="41"/>
        <v>-3.4174477532732395E-3</v>
      </c>
    </row>
    <row r="702" spans="2:6" hidden="1" outlineLevel="1" x14ac:dyDescent="0.25">
      <c r="B702" s="291">
        <v>44664</v>
      </c>
      <c r="C702">
        <v>80.989998</v>
      </c>
      <c r="D702" s="289">
        <f t="shared" ref="D702:F717" si="42">C702/C701-1</f>
        <v>-1.2348148148144666E-4</v>
      </c>
      <c r="E702">
        <v>4446.5898440000001</v>
      </c>
      <c r="F702" s="289">
        <f t="shared" si="42"/>
        <v>1.1174577725945101E-2</v>
      </c>
    </row>
    <row r="703" spans="2:6" hidden="1" outlineLevel="1" x14ac:dyDescent="0.25">
      <c r="B703" s="291">
        <v>44665</v>
      </c>
      <c r="C703">
        <v>80.940002000000007</v>
      </c>
      <c r="D703" s="289">
        <f t="shared" si="42"/>
        <v>-6.1731079435256575E-4</v>
      </c>
      <c r="E703">
        <v>4392.5898440000001</v>
      </c>
      <c r="F703" s="289">
        <f t="shared" si="42"/>
        <v>-1.2144137843715153E-2</v>
      </c>
    </row>
    <row r="704" spans="2:6" hidden="1" outlineLevel="1" x14ac:dyDescent="0.25">
      <c r="B704" s="291">
        <v>44669</v>
      </c>
      <c r="C704">
        <v>80.010002</v>
      </c>
      <c r="D704" s="289">
        <f t="shared" si="42"/>
        <v>-1.1489992303187813E-2</v>
      </c>
      <c r="E704">
        <v>4391.6899409999996</v>
      </c>
      <c r="F704" s="289">
        <f t="shared" si="42"/>
        <v>-2.0486843342082395E-4</v>
      </c>
    </row>
    <row r="705" spans="2:6" hidden="1" outlineLevel="1" x14ac:dyDescent="0.25">
      <c r="B705" s="291">
        <v>44670</v>
      </c>
      <c r="C705">
        <v>80.610000999999997</v>
      </c>
      <c r="D705" s="289">
        <f t="shared" si="42"/>
        <v>7.4990499312823644E-3</v>
      </c>
      <c r="E705">
        <v>4462.2099609999996</v>
      </c>
      <c r="F705" s="289">
        <f t="shared" si="42"/>
        <v>1.6057604463748154E-2</v>
      </c>
    </row>
    <row r="706" spans="2:6" hidden="1" outlineLevel="1" x14ac:dyDescent="0.25">
      <c r="B706" s="291">
        <v>44671</v>
      </c>
      <c r="C706">
        <v>81.529999000000004</v>
      </c>
      <c r="D706" s="289">
        <f t="shared" si="42"/>
        <v>1.1412951105161273E-2</v>
      </c>
      <c r="E706">
        <v>4459.4501950000003</v>
      </c>
      <c r="F706" s="289">
        <f t="shared" si="42"/>
        <v>-6.1847515561119781E-4</v>
      </c>
    </row>
    <row r="707" spans="2:6" hidden="1" outlineLevel="1" x14ac:dyDescent="0.25">
      <c r="B707" s="291">
        <v>44672</v>
      </c>
      <c r="C707">
        <v>82.099997999999999</v>
      </c>
      <c r="D707" s="289">
        <f t="shared" si="42"/>
        <v>6.9912793694502096E-3</v>
      </c>
      <c r="E707">
        <v>4393.6601559999999</v>
      </c>
      <c r="F707" s="289">
        <f t="shared" si="42"/>
        <v>-1.475294848539066E-2</v>
      </c>
    </row>
    <row r="708" spans="2:6" hidden="1" outlineLevel="1" x14ac:dyDescent="0.25">
      <c r="B708" s="291">
        <v>44673</v>
      </c>
      <c r="C708">
        <v>81.099997999999999</v>
      </c>
      <c r="D708" s="289">
        <f t="shared" si="42"/>
        <v>-1.2180268262613092E-2</v>
      </c>
      <c r="E708">
        <v>4271.7797849999997</v>
      </c>
      <c r="F708" s="289">
        <f t="shared" si="42"/>
        <v>-2.7740054230994571E-2</v>
      </c>
    </row>
    <row r="709" spans="2:6" hidden="1" outlineLevel="1" x14ac:dyDescent="0.25">
      <c r="B709" s="291">
        <v>44676</v>
      </c>
      <c r="C709">
        <v>81.809997999999993</v>
      </c>
      <c r="D709" s="289">
        <f t="shared" si="42"/>
        <v>8.7546241369820255E-3</v>
      </c>
      <c r="E709">
        <v>4296.1201170000004</v>
      </c>
      <c r="F709" s="289">
        <f t="shared" si="42"/>
        <v>5.6979369782752531E-3</v>
      </c>
    </row>
    <row r="710" spans="2:6" hidden="1" outlineLevel="1" x14ac:dyDescent="0.25">
      <c r="B710" s="291">
        <v>44677</v>
      </c>
      <c r="C710">
        <v>80.519997000000004</v>
      </c>
      <c r="D710" s="289">
        <f t="shared" si="42"/>
        <v>-1.5768256099945033E-2</v>
      </c>
      <c r="E710">
        <v>4175.2001950000003</v>
      </c>
      <c r="F710" s="289">
        <f t="shared" si="42"/>
        <v>-2.8146308461328373E-2</v>
      </c>
    </row>
    <row r="711" spans="2:6" hidden="1" outlineLevel="1" x14ac:dyDescent="0.25">
      <c r="B711" s="291">
        <v>44678</v>
      </c>
      <c r="C711">
        <v>80.690002000000007</v>
      </c>
      <c r="D711" s="289">
        <f t="shared" si="42"/>
        <v>2.111338876478186E-3</v>
      </c>
      <c r="E711">
        <v>4183.9599609999996</v>
      </c>
      <c r="F711" s="289">
        <f t="shared" si="42"/>
        <v>2.0980469416747027E-3</v>
      </c>
    </row>
    <row r="712" spans="2:6" hidden="1" outlineLevel="1" x14ac:dyDescent="0.25">
      <c r="B712" s="291">
        <v>44679</v>
      </c>
      <c r="C712">
        <v>81.220000999999996</v>
      </c>
      <c r="D712" s="289">
        <f t="shared" si="42"/>
        <v>6.5683354425991602E-3</v>
      </c>
      <c r="E712">
        <v>4287.5</v>
      </c>
      <c r="F712" s="289">
        <f t="shared" si="42"/>
        <v>2.4746900057631915E-2</v>
      </c>
    </row>
    <row r="713" spans="2:6" hidden="1" outlineLevel="1" x14ac:dyDescent="0.25">
      <c r="B713" s="291">
        <v>44680</v>
      </c>
      <c r="C713">
        <v>77.050003000000004</v>
      </c>
      <c r="D713" s="289">
        <f t="shared" si="42"/>
        <v>-5.1342008725166033E-2</v>
      </c>
      <c r="E713">
        <v>4131.9301759999998</v>
      </c>
      <c r="F713" s="289">
        <f t="shared" si="42"/>
        <v>-3.6284507055393656E-2</v>
      </c>
    </row>
    <row r="714" spans="2:6" hidden="1" outlineLevel="1" x14ac:dyDescent="0.25">
      <c r="B714" s="291">
        <v>44683</v>
      </c>
      <c r="C714">
        <v>75.180000000000007</v>
      </c>
      <c r="D714" s="289">
        <f t="shared" si="42"/>
        <v>-2.4269992565736809E-2</v>
      </c>
      <c r="E714">
        <v>4155.3798829999996</v>
      </c>
      <c r="F714" s="289">
        <f t="shared" si="42"/>
        <v>5.6752428044901659E-3</v>
      </c>
    </row>
    <row r="715" spans="2:6" hidden="1" outlineLevel="1" x14ac:dyDescent="0.25">
      <c r="B715" s="291">
        <v>44684</v>
      </c>
      <c r="C715">
        <v>74.489998</v>
      </c>
      <c r="D715" s="289">
        <f t="shared" si="42"/>
        <v>-9.1779994679437316E-3</v>
      </c>
      <c r="E715">
        <v>4175.4799800000001</v>
      </c>
      <c r="F715" s="289">
        <f t="shared" si="42"/>
        <v>4.8371262233404266E-3</v>
      </c>
    </row>
    <row r="716" spans="2:6" hidden="1" outlineLevel="1" x14ac:dyDescent="0.25">
      <c r="B716" s="291">
        <v>44685</v>
      </c>
      <c r="C716">
        <v>77</v>
      </c>
      <c r="D716" s="289">
        <f t="shared" si="42"/>
        <v>3.3695825847652738E-2</v>
      </c>
      <c r="E716">
        <v>4300.169922</v>
      </c>
      <c r="F716" s="289">
        <f t="shared" si="42"/>
        <v>2.9862421229954084E-2</v>
      </c>
    </row>
    <row r="717" spans="2:6" hidden="1" outlineLevel="1" x14ac:dyDescent="0.25">
      <c r="B717" s="291">
        <v>44686</v>
      </c>
      <c r="C717">
        <v>76.089995999999999</v>
      </c>
      <c r="D717" s="289">
        <f t="shared" si="42"/>
        <v>-1.181823376623381E-2</v>
      </c>
      <c r="E717">
        <v>4146.8701170000004</v>
      </c>
      <c r="F717" s="289">
        <f t="shared" si="42"/>
        <v>-3.5649708681442127E-2</v>
      </c>
    </row>
    <row r="718" spans="2:6" hidden="1" outlineLevel="1" x14ac:dyDescent="0.25">
      <c r="B718" s="291">
        <v>44687</v>
      </c>
      <c r="C718">
        <v>76.839995999999999</v>
      </c>
      <c r="D718" s="289">
        <f t="shared" ref="D718:F733" si="43">C718/C717-1</f>
        <v>9.8567491053620504E-3</v>
      </c>
      <c r="E718">
        <v>4123.3398440000001</v>
      </c>
      <c r="F718" s="289">
        <f t="shared" si="43"/>
        <v>-5.6742247372394417E-3</v>
      </c>
    </row>
    <row r="719" spans="2:6" hidden="1" outlineLevel="1" x14ac:dyDescent="0.25">
      <c r="B719" s="291">
        <v>44690</v>
      </c>
      <c r="C719">
        <v>77.669998000000007</v>
      </c>
      <c r="D719" s="289">
        <f t="shared" si="43"/>
        <v>1.0801692389468709E-2</v>
      </c>
      <c r="E719">
        <v>3991.23999</v>
      </c>
      <c r="F719" s="289">
        <f t="shared" si="43"/>
        <v>-3.2037100747885905E-2</v>
      </c>
    </row>
    <row r="720" spans="2:6" hidden="1" outlineLevel="1" x14ac:dyDescent="0.25">
      <c r="B720" s="291">
        <v>44691</v>
      </c>
      <c r="C720">
        <v>76.669998000000007</v>
      </c>
      <c r="D720" s="289">
        <f t="shared" si="43"/>
        <v>-1.2874984237800535E-2</v>
      </c>
      <c r="E720">
        <v>4001.0500489999999</v>
      </c>
      <c r="F720" s="289">
        <f t="shared" si="43"/>
        <v>2.4578975517830504E-3</v>
      </c>
    </row>
    <row r="721" spans="2:6" hidden="1" outlineLevel="1" x14ac:dyDescent="0.25">
      <c r="B721" s="291">
        <v>44692</v>
      </c>
      <c r="C721">
        <v>76.75</v>
      </c>
      <c r="D721" s="289">
        <f t="shared" si="43"/>
        <v>1.0434590072636585E-3</v>
      </c>
      <c r="E721">
        <v>3935.179932</v>
      </c>
      <c r="F721" s="289">
        <f t="shared" si="43"/>
        <v>-1.6463207456368423E-2</v>
      </c>
    </row>
    <row r="722" spans="2:6" hidden="1" outlineLevel="1" x14ac:dyDescent="0.25">
      <c r="B722" s="291">
        <v>44693</v>
      </c>
      <c r="C722">
        <v>77.550003000000004</v>
      </c>
      <c r="D722" s="289">
        <f t="shared" si="43"/>
        <v>1.042349185667768E-2</v>
      </c>
      <c r="E722">
        <v>3930.080078</v>
      </c>
      <c r="F722" s="289">
        <f t="shared" si="43"/>
        <v>-1.2959646288417392E-3</v>
      </c>
    </row>
    <row r="723" spans="2:6" hidden="1" outlineLevel="1" x14ac:dyDescent="0.25">
      <c r="B723" s="291">
        <v>44694</v>
      </c>
      <c r="C723">
        <v>78.400002000000001</v>
      </c>
      <c r="D723" s="289">
        <f t="shared" si="43"/>
        <v>1.0960657216222192E-2</v>
      </c>
      <c r="E723">
        <v>4023.889893</v>
      </c>
      <c r="F723" s="289">
        <f t="shared" si="43"/>
        <v>2.3869695562981796E-2</v>
      </c>
    </row>
    <row r="724" spans="2:6" hidden="1" outlineLevel="1" x14ac:dyDescent="0.25">
      <c r="B724" s="291">
        <v>44697</v>
      </c>
      <c r="C724">
        <v>78.730002999999996</v>
      </c>
      <c r="D724" s="289">
        <f t="shared" si="43"/>
        <v>4.2091963211938754E-3</v>
      </c>
      <c r="E724">
        <v>4008.01001</v>
      </c>
      <c r="F724" s="289">
        <f t="shared" si="43"/>
        <v>-3.9464009757386176E-3</v>
      </c>
    </row>
    <row r="725" spans="2:6" hidden="1" outlineLevel="1" x14ac:dyDescent="0.25">
      <c r="B725" s="291">
        <v>44698</v>
      </c>
      <c r="C725">
        <v>78.769997000000004</v>
      </c>
      <c r="D725" s="289">
        <f t="shared" si="43"/>
        <v>5.0798931126694313E-4</v>
      </c>
      <c r="E725">
        <v>4088.8500979999999</v>
      </c>
      <c r="F725" s="289">
        <f t="shared" si="43"/>
        <v>2.0169632260973236E-2</v>
      </c>
    </row>
    <row r="726" spans="2:6" hidden="1" outlineLevel="1" x14ac:dyDescent="0.25">
      <c r="B726" s="291">
        <v>44699</v>
      </c>
      <c r="C726">
        <v>75.709998999999996</v>
      </c>
      <c r="D726" s="289">
        <f t="shared" si="43"/>
        <v>-3.8847252971204393E-2</v>
      </c>
      <c r="E726">
        <v>3923.679932</v>
      </c>
      <c r="F726" s="289">
        <f t="shared" si="43"/>
        <v>-4.0395260780235143E-2</v>
      </c>
    </row>
    <row r="727" spans="2:6" hidden="1" outlineLevel="1" x14ac:dyDescent="0.25">
      <c r="B727" s="291">
        <v>44700</v>
      </c>
      <c r="C727">
        <v>75.120002999999997</v>
      </c>
      <c r="D727" s="289">
        <f t="shared" si="43"/>
        <v>-7.7928412071436304E-3</v>
      </c>
      <c r="E727">
        <v>3900.790039</v>
      </c>
      <c r="F727" s="289">
        <f t="shared" si="43"/>
        <v>-5.8337819079785636E-3</v>
      </c>
    </row>
    <row r="728" spans="2:6" hidden="1" outlineLevel="1" x14ac:dyDescent="0.25">
      <c r="B728" s="291">
        <v>44701</v>
      </c>
      <c r="C728">
        <v>75.129997000000003</v>
      </c>
      <c r="D728" s="289">
        <f t="shared" si="43"/>
        <v>1.3304046327067276E-4</v>
      </c>
      <c r="E728">
        <v>3901.360107</v>
      </c>
      <c r="F728" s="289">
        <f t="shared" si="43"/>
        <v>1.4614167753213003E-4</v>
      </c>
    </row>
    <row r="729" spans="2:6" hidden="1" outlineLevel="1" x14ac:dyDescent="0.25">
      <c r="B729" s="291">
        <v>44704</v>
      </c>
      <c r="C729">
        <v>76.519997000000004</v>
      </c>
      <c r="D729" s="289">
        <f t="shared" si="43"/>
        <v>1.8501265213680229E-2</v>
      </c>
      <c r="E729">
        <v>3973.75</v>
      </c>
      <c r="F729" s="289">
        <f t="shared" si="43"/>
        <v>1.8555040041065451E-2</v>
      </c>
    </row>
    <row r="730" spans="2:6" hidden="1" outlineLevel="1" x14ac:dyDescent="0.25">
      <c r="B730" s="291">
        <v>44705</v>
      </c>
      <c r="C730">
        <v>78.120002999999997</v>
      </c>
      <c r="D730" s="289">
        <f t="shared" si="43"/>
        <v>2.0909645357147566E-2</v>
      </c>
      <c r="E730">
        <v>3941.4799800000001</v>
      </c>
      <c r="F730" s="289">
        <f t="shared" si="43"/>
        <v>-8.1207977351368532E-3</v>
      </c>
    </row>
    <row r="731" spans="2:6" hidden="1" outlineLevel="1" x14ac:dyDescent="0.25">
      <c r="B731" s="291">
        <v>44706</v>
      </c>
      <c r="C731">
        <v>77.489998</v>
      </c>
      <c r="D731" s="289">
        <f t="shared" si="43"/>
        <v>-8.0645798234287858E-3</v>
      </c>
      <c r="E731">
        <v>3978.7299800000001</v>
      </c>
      <c r="F731" s="289">
        <f t="shared" si="43"/>
        <v>9.4507647353316848E-3</v>
      </c>
    </row>
    <row r="732" spans="2:6" hidden="1" outlineLevel="1" x14ac:dyDescent="0.25">
      <c r="B732" s="291">
        <v>44707</v>
      </c>
      <c r="C732">
        <v>78.160004000000001</v>
      </c>
      <c r="D732" s="289">
        <f t="shared" si="43"/>
        <v>8.6463545914661211E-3</v>
      </c>
      <c r="E732">
        <v>4057.8400879999999</v>
      </c>
      <c r="F732" s="289">
        <f t="shared" si="43"/>
        <v>1.9883256314870534E-2</v>
      </c>
    </row>
    <row r="733" spans="2:6" hidden="1" outlineLevel="1" x14ac:dyDescent="0.25">
      <c r="B733" s="291">
        <v>44708</v>
      </c>
      <c r="C733">
        <v>78.860000999999997</v>
      </c>
      <c r="D733" s="289">
        <f t="shared" si="43"/>
        <v>8.9559488763588657E-3</v>
      </c>
      <c r="E733">
        <v>4158.2402339999999</v>
      </c>
      <c r="F733" s="289">
        <f t="shared" si="43"/>
        <v>2.474226283507508E-2</v>
      </c>
    </row>
    <row r="734" spans="2:6" hidden="1" outlineLevel="1" x14ac:dyDescent="0.25">
      <c r="B734" s="291">
        <v>44712</v>
      </c>
      <c r="C734">
        <v>78.809997999999993</v>
      </c>
      <c r="D734" s="289">
        <f t="shared" ref="D734:F749" si="44">C734/C733-1</f>
        <v>-6.3407303279139349E-4</v>
      </c>
      <c r="E734">
        <v>4132.1499020000001</v>
      </c>
      <c r="F734" s="289">
        <f t="shared" si="44"/>
        <v>-6.2743686107097352E-3</v>
      </c>
    </row>
    <row r="735" spans="2:6" hidden="1" outlineLevel="1" x14ac:dyDescent="0.25">
      <c r="B735" s="291">
        <v>44713</v>
      </c>
      <c r="C735">
        <v>78.199996999999996</v>
      </c>
      <c r="D735" s="289">
        <f t="shared" si="44"/>
        <v>-7.7401473858684788E-3</v>
      </c>
      <c r="E735">
        <v>4101.2299800000001</v>
      </c>
      <c r="F735" s="289">
        <f t="shared" si="44"/>
        <v>-7.482768712004928E-3</v>
      </c>
    </row>
    <row r="736" spans="2:6" hidden="1" outlineLevel="1" x14ac:dyDescent="0.25">
      <c r="B736" s="291">
        <v>44714</v>
      </c>
      <c r="C736">
        <v>79.269997000000004</v>
      </c>
      <c r="D736" s="289">
        <f t="shared" si="44"/>
        <v>1.3682864975046005E-2</v>
      </c>
      <c r="E736">
        <v>4176.8198240000002</v>
      </c>
      <c r="F736" s="289">
        <f t="shared" si="44"/>
        <v>1.8431018101550123E-2</v>
      </c>
    </row>
    <row r="737" spans="2:6" hidden="1" outlineLevel="1" x14ac:dyDescent="0.25">
      <c r="B737" s="291">
        <v>44715</v>
      </c>
      <c r="C737">
        <v>78.930000000000007</v>
      </c>
      <c r="D737" s="289">
        <f t="shared" si="44"/>
        <v>-4.2891007047722862E-3</v>
      </c>
      <c r="E737">
        <v>4108.5400390000004</v>
      </c>
      <c r="F737" s="289">
        <f t="shared" si="44"/>
        <v>-1.6347313955862863E-2</v>
      </c>
    </row>
    <row r="738" spans="2:6" hidden="1" outlineLevel="1" x14ac:dyDescent="0.25">
      <c r="B738" s="291">
        <v>44718</v>
      </c>
      <c r="C738">
        <v>78.779999000000004</v>
      </c>
      <c r="D738" s="289">
        <f t="shared" si="44"/>
        <v>-1.900430761434202E-3</v>
      </c>
      <c r="E738">
        <v>4121.4301759999998</v>
      </c>
      <c r="F738" s="289">
        <f t="shared" si="44"/>
        <v>3.1374008474156501E-3</v>
      </c>
    </row>
    <row r="739" spans="2:6" hidden="1" outlineLevel="1" x14ac:dyDescent="0.25">
      <c r="B739" s="291">
        <v>44719</v>
      </c>
      <c r="C739">
        <v>78.709998999999996</v>
      </c>
      <c r="D739" s="289">
        <f t="shared" si="44"/>
        <v>-8.8855040477986424E-4</v>
      </c>
      <c r="E739">
        <v>4160.6801759999998</v>
      </c>
      <c r="F739" s="289">
        <f t="shared" si="44"/>
        <v>9.523393172729655E-3</v>
      </c>
    </row>
    <row r="740" spans="2:6" hidden="1" outlineLevel="1" x14ac:dyDescent="0.25">
      <c r="B740" s="291">
        <v>44720</v>
      </c>
      <c r="C740">
        <v>77.870002999999997</v>
      </c>
      <c r="D740" s="289">
        <f t="shared" si="44"/>
        <v>-1.0672036725600798E-2</v>
      </c>
      <c r="E740">
        <v>4115.7700199999999</v>
      </c>
      <c r="F740" s="289">
        <f t="shared" si="44"/>
        <v>-1.0793945725281806E-2</v>
      </c>
    </row>
    <row r="741" spans="2:6" hidden="1" outlineLevel="1" x14ac:dyDescent="0.25">
      <c r="B741" s="291">
        <v>44721</v>
      </c>
      <c r="C741">
        <v>76.849997999999999</v>
      </c>
      <c r="D741" s="289">
        <f t="shared" si="44"/>
        <v>-1.309881803908497E-2</v>
      </c>
      <c r="E741">
        <v>4017.820068</v>
      </c>
      <c r="F741" s="289">
        <f t="shared" si="44"/>
        <v>-2.3798694174850921E-2</v>
      </c>
    </row>
    <row r="742" spans="2:6" hidden="1" outlineLevel="1" x14ac:dyDescent="0.25">
      <c r="B742" s="291">
        <v>44722</v>
      </c>
      <c r="C742">
        <v>76.629997000000003</v>
      </c>
      <c r="D742" s="289">
        <f t="shared" si="44"/>
        <v>-2.8627326704679934E-3</v>
      </c>
      <c r="E742">
        <v>3900.860107</v>
      </c>
      <c r="F742" s="289">
        <f t="shared" si="44"/>
        <v>-2.9110303353684142E-2</v>
      </c>
    </row>
    <row r="743" spans="2:6" hidden="1" outlineLevel="1" x14ac:dyDescent="0.25">
      <c r="B743" s="291">
        <v>44725</v>
      </c>
      <c r="C743">
        <v>76.190002000000007</v>
      </c>
      <c r="D743" s="289">
        <f t="shared" si="44"/>
        <v>-5.7418115258440761E-3</v>
      </c>
      <c r="E743">
        <v>3749.6298830000001</v>
      </c>
      <c r="F743" s="289">
        <f t="shared" si="44"/>
        <v>-3.8768430513214436E-2</v>
      </c>
    </row>
    <row r="744" spans="2:6" hidden="1" outlineLevel="1" x14ac:dyDescent="0.25">
      <c r="B744" s="291">
        <v>44726</v>
      </c>
      <c r="C744">
        <v>74.269997000000004</v>
      </c>
      <c r="D744" s="289">
        <f t="shared" si="44"/>
        <v>-2.5200222464884625E-2</v>
      </c>
      <c r="E744">
        <v>3735.4799800000001</v>
      </c>
      <c r="F744" s="289">
        <f t="shared" si="44"/>
        <v>-3.7736799208243355E-3</v>
      </c>
    </row>
    <row r="745" spans="2:6" hidden="1" outlineLevel="1" x14ac:dyDescent="0.25">
      <c r="B745" s="291">
        <v>44727</v>
      </c>
      <c r="C745">
        <v>74.160004000000001</v>
      </c>
      <c r="D745" s="289">
        <f t="shared" si="44"/>
        <v>-1.4809883458054562E-3</v>
      </c>
      <c r="E745">
        <v>3789.98999</v>
      </c>
      <c r="F745" s="289">
        <f t="shared" si="44"/>
        <v>1.4592504923557348E-2</v>
      </c>
    </row>
    <row r="746" spans="2:6" hidden="1" outlineLevel="1" x14ac:dyDescent="0.25">
      <c r="B746" s="291">
        <v>44728</v>
      </c>
      <c r="C746">
        <v>73.919998000000007</v>
      </c>
      <c r="D746" s="289">
        <f t="shared" si="44"/>
        <v>-3.2363266862821538E-3</v>
      </c>
      <c r="E746">
        <v>3666.7700199999999</v>
      </c>
      <c r="F746" s="289">
        <f t="shared" si="44"/>
        <v>-3.2511951304652453E-2</v>
      </c>
    </row>
    <row r="747" spans="2:6" hidden="1" outlineLevel="1" x14ac:dyDescent="0.25">
      <c r="B747" s="291">
        <v>44729</v>
      </c>
      <c r="C747">
        <v>74.040001000000004</v>
      </c>
      <c r="D747" s="289">
        <f t="shared" si="44"/>
        <v>1.6234172517157752E-3</v>
      </c>
      <c r="E747">
        <v>3674.8400879999999</v>
      </c>
      <c r="F747" s="289">
        <f t="shared" si="44"/>
        <v>2.2008655999647964E-3</v>
      </c>
    </row>
    <row r="748" spans="2:6" hidden="1" outlineLevel="1" x14ac:dyDescent="0.25">
      <c r="B748" s="291">
        <v>44733</v>
      </c>
      <c r="C748">
        <v>76.459998999999996</v>
      </c>
      <c r="D748" s="289">
        <f t="shared" si="44"/>
        <v>3.2685007662276888E-2</v>
      </c>
      <c r="E748">
        <v>3764.790039</v>
      </c>
      <c r="F748" s="289">
        <f t="shared" si="44"/>
        <v>2.4477242232587848E-2</v>
      </c>
    </row>
    <row r="749" spans="2:6" hidden="1" outlineLevel="1" x14ac:dyDescent="0.25">
      <c r="B749" s="291">
        <v>44734</v>
      </c>
      <c r="C749">
        <v>77.910004000000001</v>
      </c>
      <c r="D749" s="289">
        <f t="shared" si="44"/>
        <v>1.8964229910596764E-2</v>
      </c>
      <c r="E749">
        <v>3759.889893</v>
      </c>
      <c r="F749" s="289">
        <f t="shared" si="44"/>
        <v>-1.3015721857629892E-3</v>
      </c>
    </row>
    <row r="750" spans="2:6" hidden="1" outlineLevel="1" x14ac:dyDescent="0.25">
      <c r="B750" s="291">
        <v>44735</v>
      </c>
      <c r="C750">
        <v>78.879997000000003</v>
      </c>
      <c r="D750" s="289">
        <f t="shared" ref="D750:F765" si="45">C750/C749-1</f>
        <v>1.2450172637650025E-2</v>
      </c>
      <c r="E750">
        <v>3795.7299800000001</v>
      </c>
      <c r="F750" s="289">
        <f t="shared" si="45"/>
        <v>9.5322171712330928E-3</v>
      </c>
    </row>
    <row r="751" spans="2:6" hidden="1" outlineLevel="1" x14ac:dyDescent="0.25">
      <c r="B751" s="291">
        <v>44736</v>
      </c>
      <c r="C751">
        <v>80.379997000000003</v>
      </c>
      <c r="D751" s="289">
        <f t="shared" si="45"/>
        <v>1.9016227903761118E-2</v>
      </c>
      <c r="E751">
        <v>3911.73999</v>
      </c>
      <c r="F751" s="289">
        <f t="shared" si="45"/>
        <v>3.0563293651357126E-2</v>
      </c>
    </row>
    <row r="752" spans="2:6" hidden="1" outlineLevel="1" x14ac:dyDescent="0.25">
      <c r="B752" s="291">
        <v>44739</v>
      </c>
      <c r="C752">
        <v>79.879997000000003</v>
      </c>
      <c r="D752" s="289">
        <f t="shared" si="45"/>
        <v>-6.2204530811316161E-3</v>
      </c>
      <c r="E752">
        <v>3900.110107</v>
      </c>
      <c r="F752" s="289">
        <f t="shared" si="45"/>
        <v>-2.9730715818869768E-3</v>
      </c>
    </row>
    <row r="753" spans="2:6" hidden="1" outlineLevel="1" x14ac:dyDescent="0.25">
      <c r="B753" s="291">
        <v>44740</v>
      </c>
      <c r="C753">
        <v>78.879997000000003</v>
      </c>
      <c r="D753" s="289">
        <f t="shared" si="45"/>
        <v>-1.2518778637410355E-2</v>
      </c>
      <c r="E753">
        <v>3821.5500489999999</v>
      </c>
      <c r="F753" s="289">
        <f t="shared" si="45"/>
        <v>-2.0143035925831665E-2</v>
      </c>
    </row>
    <row r="754" spans="2:6" hidden="1" outlineLevel="1" x14ac:dyDescent="0.25">
      <c r="B754" s="291">
        <v>44741</v>
      </c>
      <c r="C754">
        <v>79.669998000000007</v>
      </c>
      <c r="D754" s="289">
        <f t="shared" si="45"/>
        <v>1.0015226040132941E-2</v>
      </c>
      <c r="E754">
        <v>3818.830078</v>
      </c>
      <c r="F754" s="289">
        <f t="shared" si="45"/>
        <v>-7.1174548681152139E-4</v>
      </c>
    </row>
    <row r="755" spans="2:6" hidden="1" outlineLevel="1" x14ac:dyDescent="0.25">
      <c r="B755" s="291">
        <v>44742</v>
      </c>
      <c r="C755">
        <v>80.139999000000003</v>
      </c>
      <c r="D755" s="289">
        <f t="shared" si="45"/>
        <v>5.8993474557385017E-3</v>
      </c>
      <c r="E755">
        <v>3785.3798830000001</v>
      </c>
      <c r="F755" s="289">
        <f t="shared" si="45"/>
        <v>-8.7592781864540559E-3</v>
      </c>
    </row>
    <row r="756" spans="2:6" hidden="1" outlineLevel="1" x14ac:dyDescent="0.25">
      <c r="B756" s="291">
        <v>44743</v>
      </c>
      <c r="C756">
        <v>81.970000999999996</v>
      </c>
      <c r="D756" s="289">
        <f t="shared" si="45"/>
        <v>2.283506392357193E-2</v>
      </c>
      <c r="E756">
        <v>3825.330078</v>
      </c>
      <c r="F756" s="289">
        <f t="shared" si="45"/>
        <v>1.0553813945969992E-2</v>
      </c>
    </row>
    <row r="757" spans="2:6" hidden="1" outlineLevel="1" x14ac:dyDescent="0.25">
      <c r="B757" s="291">
        <v>44747</v>
      </c>
      <c r="C757">
        <v>81</v>
      </c>
      <c r="D757" s="289">
        <f t="shared" si="45"/>
        <v>-1.1833609712899706E-2</v>
      </c>
      <c r="E757">
        <v>3831.389893</v>
      </c>
      <c r="F757" s="289">
        <f t="shared" si="45"/>
        <v>1.5841286572499946E-3</v>
      </c>
    </row>
    <row r="758" spans="2:6" hidden="1" outlineLevel="1" x14ac:dyDescent="0.25">
      <c r="B758" s="291">
        <v>44748</v>
      </c>
      <c r="C758">
        <v>81.019997000000004</v>
      </c>
      <c r="D758" s="289">
        <f t="shared" si="45"/>
        <v>2.4687654320998398E-4</v>
      </c>
      <c r="E758">
        <v>3845.080078</v>
      </c>
      <c r="F758" s="289">
        <f t="shared" si="45"/>
        <v>3.5731641473011333E-3</v>
      </c>
    </row>
    <row r="759" spans="2:6" hidden="1" outlineLevel="1" x14ac:dyDescent="0.25">
      <c r="B759" s="291">
        <v>44749</v>
      </c>
      <c r="C759">
        <v>79.459998999999996</v>
      </c>
      <c r="D759" s="289">
        <f t="shared" si="45"/>
        <v>-1.9254481088168962E-2</v>
      </c>
      <c r="E759">
        <v>3902.6201169999999</v>
      </c>
      <c r="F759" s="289">
        <f t="shared" si="45"/>
        <v>1.4964587949473751E-2</v>
      </c>
    </row>
    <row r="760" spans="2:6" hidden="1" outlineLevel="1" x14ac:dyDescent="0.25">
      <c r="B760" s="291">
        <v>44750</v>
      </c>
      <c r="C760">
        <v>78.349997999999999</v>
      </c>
      <c r="D760" s="289">
        <f t="shared" si="45"/>
        <v>-1.3969305486651207E-2</v>
      </c>
      <c r="E760">
        <v>3899.3798830000001</v>
      </c>
      <c r="F760" s="289">
        <f t="shared" si="45"/>
        <v>-8.3027143376968038E-4</v>
      </c>
    </row>
    <row r="761" spans="2:6" hidden="1" outlineLevel="1" x14ac:dyDescent="0.25">
      <c r="B761" s="291">
        <v>44753</v>
      </c>
      <c r="C761">
        <v>78.699996999999996</v>
      </c>
      <c r="D761" s="289">
        <f t="shared" si="45"/>
        <v>4.4671220029897096E-3</v>
      </c>
      <c r="E761">
        <v>3854.429932</v>
      </c>
      <c r="F761" s="289">
        <f t="shared" si="45"/>
        <v>-1.1527461378145532E-2</v>
      </c>
    </row>
    <row r="762" spans="2:6" hidden="1" outlineLevel="1" x14ac:dyDescent="0.25">
      <c r="B762" s="291">
        <v>44754</v>
      </c>
      <c r="C762">
        <v>78.309997999999993</v>
      </c>
      <c r="D762" s="289">
        <f t="shared" si="45"/>
        <v>-4.9555148013538108E-3</v>
      </c>
      <c r="E762">
        <v>3818.8000489999999</v>
      </c>
      <c r="F762" s="289">
        <f t="shared" si="45"/>
        <v>-9.243878765105018E-3</v>
      </c>
    </row>
    <row r="763" spans="2:6" hidden="1" outlineLevel="1" x14ac:dyDescent="0.25">
      <c r="B763" s="291">
        <v>44755</v>
      </c>
      <c r="C763">
        <v>78.430000000000007</v>
      </c>
      <c r="D763" s="289">
        <f t="shared" si="45"/>
        <v>1.5323969233151935E-3</v>
      </c>
      <c r="E763">
        <v>3801.780029</v>
      </c>
      <c r="F763" s="289">
        <f t="shared" si="45"/>
        <v>-4.4569026347573981E-3</v>
      </c>
    </row>
    <row r="764" spans="2:6" hidden="1" outlineLevel="1" x14ac:dyDescent="0.25">
      <c r="B764" s="291">
        <v>44756</v>
      </c>
      <c r="C764">
        <v>78.339995999999999</v>
      </c>
      <c r="D764" s="289">
        <f t="shared" si="45"/>
        <v>-1.147571082494081E-3</v>
      </c>
      <c r="E764">
        <v>3790.3798830000001</v>
      </c>
      <c r="F764" s="289">
        <f t="shared" si="45"/>
        <v>-2.9986337749789982E-3</v>
      </c>
    </row>
    <row r="765" spans="2:6" hidden="1" outlineLevel="1" x14ac:dyDescent="0.25">
      <c r="B765" s="291">
        <v>44757</v>
      </c>
      <c r="C765">
        <v>78.150002000000001</v>
      </c>
      <c r="D765" s="289">
        <f t="shared" si="45"/>
        <v>-2.4252490388179115E-3</v>
      </c>
      <c r="E765">
        <v>3863.1599120000001</v>
      </c>
      <c r="F765" s="289">
        <f t="shared" si="45"/>
        <v>1.9201249280163424E-2</v>
      </c>
    </row>
    <row r="766" spans="2:6" hidden="1" outlineLevel="1" x14ac:dyDescent="0.25">
      <c r="B766" s="291">
        <v>44760</v>
      </c>
      <c r="C766">
        <v>77.120002999999997</v>
      </c>
      <c r="D766" s="289">
        <f t="shared" ref="D766:F781" si="46">C766/C765-1</f>
        <v>-1.3179769336410296E-2</v>
      </c>
      <c r="E766">
        <v>3830.8500979999999</v>
      </c>
      <c r="F766" s="289">
        <f t="shared" si="46"/>
        <v>-8.3635714637743108E-3</v>
      </c>
    </row>
    <row r="767" spans="2:6" hidden="1" outlineLevel="1" x14ac:dyDescent="0.25">
      <c r="B767" s="291">
        <v>44761</v>
      </c>
      <c r="C767">
        <v>77.529999000000004</v>
      </c>
      <c r="D767" s="289">
        <f t="shared" si="46"/>
        <v>5.3163379674661115E-3</v>
      </c>
      <c r="E767">
        <v>3936.6899410000001</v>
      </c>
      <c r="F767" s="289">
        <f t="shared" si="46"/>
        <v>2.7628291447701514E-2</v>
      </c>
    </row>
    <row r="768" spans="2:6" hidden="1" outlineLevel="1" x14ac:dyDescent="0.25">
      <c r="B768" s="291">
        <v>44762</v>
      </c>
      <c r="C768">
        <v>75.610000999999997</v>
      </c>
      <c r="D768" s="289">
        <f t="shared" si="46"/>
        <v>-2.4764581771760441E-2</v>
      </c>
      <c r="E768">
        <v>3959.8999020000001</v>
      </c>
      <c r="F768" s="289">
        <f t="shared" si="46"/>
        <v>5.8958062097478336E-3</v>
      </c>
    </row>
    <row r="769" spans="2:6" hidden="1" outlineLevel="1" x14ac:dyDescent="0.25">
      <c r="B769" s="291">
        <v>44763</v>
      </c>
      <c r="C769">
        <v>76.160004000000001</v>
      </c>
      <c r="D769" s="289">
        <f t="shared" si="46"/>
        <v>7.2742096644067278E-3</v>
      </c>
      <c r="E769">
        <v>3998.9499510000001</v>
      </c>
      <c r="F769" s="289">
        <f t="shared" si="46"/>
        <v>9.8613727534571094E-3</v>
      </c>
    </row>
    <row r="770" spans="2:6" hidden="1" outlineLevel="1" x14ac:dyDescent="0.25">
      <c r="B770" s="291">
        <v>44764</v>
      </c>
      <c r="C770">
        <v>77.470000999999996</v>
      </c>
      <c r="D770" s="289">
        <f t="shared" si="46"/>
        <v>1.720058995795215E-2</v>
      </c>
      <c r="E770">
        <v>3961.6298830000001</v>
      </c>
      <c r="F770" s="289">
        <f t="shared" si="46"/>
        <v>-9.3324668868804972E-3</v>
      </c>
    </row>
    <row r="771" spans="2:6" hidden="1" outlineLevel="1" x14ac:dyDescent="0.25">
      <c r="B771" s="291">
        <v>44767</v>
      </c>
      <c r="C771">
        <v>77.849997999999999</v>
      </c>
      <c r="D771" s="289">
        <f t="shared" si="46"/>
        <v>4.9050857763639488E-3</v>
      </c>
      <c r="E771">
        <v>3966.8400879999999</v>
      </c>
      <c r="F771" s="289">
        <f t="shared" si="46"/>
        <v>1.3151670281865702E-3</v>
      </c>
    </row>
    <row r="772" spans="2:6" hidden="1" outlineLevel="1" x14ac:dyDescent="0.25">
      <c r="B772" s="291">
        <v>44768</v>
      </c>
      <c r="C772">
        <v>78.529999000000004</v>
      </c>
      <c r="D772" s="289">
        <f t="shared" si="46"/>
        <v>8.7347593766156084E-3</v>
      </c>
      <c r="E772">
        <v>3921.0500489999999</v>
      </c>
      <c r="F772" s="289">
        <f t="shared" si="46"/>
        <v>-1.154320264598474E-2</v>
      </c>
    </row>
    <row r="773" spans="2:6" hidden="1" outlineLevel="1" x14ac:dyDescent="0.25">
      <c r="B773" s="291">
        <v>44769</v>
      </c>
      <c r="C773">
        <v>78.760002</v>
      </c>
      <c r="D773" s="289">
        <f t="shared" si="46"/>
        <v>2.9288552518635935E-3</v>
      </c>
      <c r="E773">
        <v>4023.610107</v>
      </c>
      <c r="F773" s="289">
        <f t="shared" si="46"/>
        <v>2.6156273630364879E-2</v>
      </c>
    </row>
    <row r="774" spans="2:6" hidden="1" outlineLevel="1" x14ac:dyDescent="0.25">
      <c r="B774" s="291">
        <v>44770</v>
      </c>
      <c r="C774">
        <v>79.190002000000007</v>
      </c>
      <c r="D774" s="289">
        <f t="shared" si="46"/>
        <v>5.4596240360684778E-3</v>
      </c>
      <c r="E774">
        <v>4072.429932</v>
      </c>
      <c r="F774" s="289">
        <f t="shared" si="46"/>
        <v>1.2133338892619472E-2</v>
      </c>
    </row>
    <row r="775" spans="2:6" hidden="1" outlineLevel="1" x14ac:dyDescent="0.25">
      <c r="B775" s="291">
        <v>44771</v>
      </c>
      <c r="C775">
        <v>78.739998</v>
      </c>
      <c r="D775" s="289">
        <f t="shared" si="46"/>
        <v>-5.682586041606652E-3</v>
      </c>
      <c r="E775">
        <v>4130.2900390000004</v>
      </c>
      <c r="F775" s="289">
        <f t="shared" si="46"/>
        <v>1.4207759977735268E-2</v>
      </c>
    </row>
    <row r="776" spans="2:6" hidden="1" outlineLevel="1" x14ac:dyDescent="0.25">
      <c r="B776" s="291">
        <v>44774</v>
      </c>
      <c r="C776">
        <v>81.099997999999999</v>
      </c>
      <c r="D776" s="289">
        <f t="shared" si="46"/>
        <v>2.9972060705411696E-2</v>
      </c>
      <c r="E776">
        <v>4118.6298829999996</v>
      </c>
      <c r="F776" s="289">
        <f t="shared" si="46"/>
        <v>-2.8230840667121671E-3</v>
      </c>
    </row>
    <row r="777" spans="2:6" hidden="1" outlineLevel="1" x14ac:dyDescent="0.25">
      <c r="B777" s="291">
        <v>44775</v>
      </c>
      <c r="C777">
        <v>80.260002</v>
      </c>
      <c r="D777" s="289">
        <f t="shared" si="46"/>
        <v>-1.0357534164180837E-2</v>
      </c>
      <c r="E777">
        <v>4091.1899410000001</v>
      </c>
      <c r="F777" s="289">
        <f t="shared" si="46"/>
        <v>-6.6623956945633944E-3</v>
      </c>
    </row>
    <row r="778" spans="2:6" hidden="1" outlineLevel="1" x14ac:dyDescent="0.25">
      <c r="B778" s="291">
        <v>44776</v>
      </c>
      <c r="C778">
        <v>81.430000000000007</v>
      </c>
      <c r="D778" s="289">
        <f t="shared" si="46"/>
        <v>1.4577597443867552E-2</v>
      </c>
      <c r="E778">
        <v>4155.169922</v>
      </c>
      <c r="F778" s="289">
        <f t="shared" si="46"/>
        <v>1.5638477294545039E-2</v>
      </c>
    </row>
    <row r="779" spans="2:6" hidden="1" outlineLevel="1" x14ac:dyDescent="0.25">
      <c r="B779" s="291">
        <v>44777</v>
      </c>
      <c r="C779">
        <v>80.889999000000003</v>
      </c>
      <c r="D779" s="289">
        <f t="shared" si="46"/>
        <v>-6.6314748864055861E-3</v>
      </c>
      <c r="E779">
        <v>4151.9399409999996</v>
      </c>
      <c r="F779" s="289">
        <f t="shared" si="46"/>
        <v>-7.7734029188525344E-4</v>
      </c>
    </row>
    <row r="780" spans="2:6" hidden="1" outlineLevel="1" x14ac:dyDescent="0.25">
      <c r="B780" s="291">
        <v>44778</v>
      </c>
      <c r="C780">
        <v>80.430000000000007</v>
      </c>
      <c r="D780" s="289">
        <f t="shared" si="46"/>
        <v>-5.686722780154807E-3</v>
      </c>
      <c r="E780">
        <v>4145.1899409999996</v>
      </c>
      <c r="F780" s="289">
        <f t="shared" si="46"/>
        <v>-1.6257460598946283E-3</v>
      </c>
    </row>
    <row r="781" spans="2:6" hidden="1" outlineLevel="1" x14ac:dyDescent="0.25">
      <c r="B781" s="291">
        <v>44781</v>
      </c>
      <c r="C781">
        <v>80.809997999999993</v>
      </c>
      <c r="D781" s="289">
        <f t="shared" si="46"/>
        <v>4.7245803804549791E-3</v>
      </c>
      <c r="E781">
        <v>4140.0600590000004</v>
      </c>
      <c r="F781" s="289">
        <f t="shared" si="46"/>
        <v>-1.2375505279649257E-3</v>
      </c>
    </row>
    <row r="782" spans="2:6" hidden="1" outlineLevel="1" x14ac:dyDescent="0.25">
      <c r="B782" s="291">
        <v>44782</v>
      </c>
      <c r="C782">
        <v>80.059997999999993</v>
      </c>
      <c r="D782" s="289">
        <f t="shared" ref="D782:F797" si="47">C782/C781-1</f>
        <v>-9.281029805247587E-3</v>
      </c>
      <c r="E782">
        <v>4122.4702150000003</v>
      </c>
      <c r="F782" s="289">
        <f t="shared" si="47"/>
        <v>-4.2486929535627826E-3</v>
      </c>
    </row>
    <row r="783" spans="2:6" hidden="1" outlineLevel="1" x14ac:dyDescent="0.25">
      <c r="B783" s="291">
        <v>44783</v>
      </c>
      <c r="C783">
        <v>80.339995999999999</v>
      </c>
      <c r="D783" s="289">
        <f t="shared" si="47"/>
        <v>3.4973520733787566E-3</v>
      </c>
      <c r="E783">
        <v>4210.2402339999999</v>
      </c>
      <c r="F783" s="289">
        <f t="shared" si="47"/>
        <v>2.1290637511616195E-2</v>
      </c>
    </row>
    <row r="784" spans="2:6" hidden="1" outlineLevel="1" x14ac:dyDescent="0.25">
      <c r="B784" s="291">
        <v>44784</v>
      </c>
      <c r="C784">
        <v>79.5</v>
      </c>
      <c r="D784" s="289">
        <f t="shared" si="47"/>
        <v>-1.0455514585786085E-2</v>
      </c>
      <c r="E784">
        <v>4207.2700199999999</v>
      </c>
      <c r="F784" s="289">
        <f t="shared" si="47"/>
        <v>-7.0547375800877887E-4</v>
      </c>
    </row>
    <row r="785" spans="2:6" hidden="1" outlineLevel="1" x14ac:dyDescent="0.25">
      <c r="B785" s="291">
        <v>44785</v>
      </c>
      <c r="C785">
        <v>80.290001000000004</v>
      </c>
      <c r="D785" s="289">
        <f t="shared" si="47"/>
        <v>9.9371194968553844E-3</v>
      </c>
      <c r="E785">
        <v>4280.1499020000001</v>
      </c>
      <c r="F785" s="289">
        <f t="shared" si="47"/>
        <v>1.7322368579518965E-2</v>
      </c>
    </row>
    <row r="786" spans="2:6" hidden="1" outlineLevel="1" x14ac:dyDescent="0.25">
      <c r="B786" s="291">
        <v>44788</v>
      </c>
      <c r="C786">
        <v>81.239998</v>
      </c>
      <c r="D786" s="289">
        <f t="shared" si="47"/>
        <v>1.1832071094382002E-2</v>
      </c>
      <c r="E786">
        <v>4297.1401370000003</v>
      </c>
      <c r="F786" s="289">
        <f t="shared" si="47"/>
        <v>3.9695420461935971E-3</v>
      </c>
    </row>
    <row r="787" spans="2:6" hidden="1" outlineLevel="1" x14ac:dyDescent="0.25">
      <c r="B787" s="291">
        <v>44789</v>
      </c>
      <c r="C787">
        <v>82.18</v>
      </c>
      <c r="D787" s="289">
        <f t="shared" si="47"/>
        <v>1.1570679753094115E-2</v>
      </c>
      <c r="E787">
        <v>4305.2001950000003</v>
      </c>
      <c r="F787" s="289">
        <f t="shared" si="47"/>
        <v>1.8756795782850499E-3</v>
      </c>
    </row>
    <row r="788" spans="2:6" hidden="1" outlineLevel="1" x14ac:dyDescent="0.25">
      <c r="B788" s="291">
        <v>44790</v>
      </c>
      <c r="C788">
        <v>82.169998000000007</v>
      </c>
      <c r="D788" s="289">
        <f t="shared" si="47"/>
        <v>-1.2170844487713328E-4</v>
      </c>
      <c r="E788">
        <v>4274.0400390000004</v>
      </c>
      <c r="F788" s="289">
        <f t="shared" si="47"/>
        <v>-7.2377948965506311E-3</v>
      </c>
    </row>
    <row r="789" spans="2:6" hidden="1" outlineLevel="1" x14ac:dyDescent="0.25">
      <c r="B789" s="291">
        <v>44791</v>
      </c>
      <c r="C789">
        <v>82.849997999999999</v>
      </c>
      <c r="D789" s="289">
        <f t="shared" si="47"/>
        <v>8.2755265492400198E-3</v>
      </c>
      <c r="E789">
        <v>4283.7402339999999</v>
      </c>
      <c r="F789" s="289">
        <f t="shared" si="47"/>
        <v>2.26956109710863E-3</v>
      </c>
    </row>
    <row r="790" spans="2:6" hidden="1" outlineLevel="1" x14ac:dyDescent="0.25">
      <c r="B790" s="291">
        <v>44792</v>
      </c>
      <c r="C790">
        <v>83.269997000000004</v>
      </c>
      <c r="D790" s="289">
        <f t="shared" si="47"/>
        <v>5.0693905870704548E-3</v>
      </c>
      <c r="E790">
        <v>4228.4799800000001</v>
      </c>
      <c r="F790" s="289">
        <f t="shared" si="47"/>
        <v>-1.2900001162862273E-2</v>
      </c>
    </row>
    <row r="791" spans="2:6" hidden="1" outlineLevel="1" x14ac:dyDescent="0.25">
      <c r="B791" s="291">
        <v>44795</v>
      </c>
      <c r="C791">
        <v>81.959998999999996</v>
      </c>
      <c r="D791" s="289">
        <f t="shared" si="47"/>
        <v>-1.5731932835304496E-2</v>
      </c>
      <c r="E791">
        <v>4137.9902339999999</v>
      </c>
      <c r="F791" s="289">
        <f t="shared" si="47"/>
        <v>-2.1400064899917082E-2</v>
      </c>
    </row>
    <row r="792" spans="2:6" hidden="1" outlineLevel="1" x14ac:dyDescent="0.25">
      <c r="B792" s="291">
        <v>44796</v>
      </c>
      <c r="C792">
        <v>80.959998999999996</v>
      </c>
      <c r="D792" s="289">
        <f t="shared" si="47"/>
        <v>-1.220107384335134E-2</v>
      </c>
      <c r="E792">
        <v>4128.7299800000001</v>
      </c>
      <c r="F792" s="289">
        <f t="shared" si="47"/>
        <v>-2.2378627005720242E-3</v>
      </c>
    </row>
    <row r="793" spans="2:6" hidden="1" outlineLevel="1" x14ac:dyDescent="0.25">
      <c r="B793" s="291">
        <v>44797</v>
      </c>
      <c r="C793">
        <v>81</v>
      </c>
      <c r="D793" s="289">
        <f t="shared" si="47"/>
        <v>4.9408350412649682E-4</v>
      </c>
      <c r="E793">
        <v>4140.7700199999999</v>
      </c>
      <c r="F793" s="289">
        <f t="shared" si="47"/>
        <v>2.916160673699375E-3</v>
      </c>
    </row>
    <row r="794" spans="2:6" hidden="1" outlineLevel="1" x14ac:dyDescent="0.25">
      <c r="B794" s="291">
        <v>44798</v>
      </c>
      <c r="C794">
        <v>80.919998000000007</v>
      </c>
      <c r="D794" s="289">
        <f t="shared" si="47"/>
        <v>-9.8767901234564359E-4</v>
      </c>
      <c r="E794">
        <v>4199.1201170000004</v>
      </c>
      <c r="F794" s="289">
        <f t="shared" si="47"/>
        <v>1.4091605357981374E-2</v>
      </c>
    </row>
    <row r="795" spans="2:6" hidden="1" outlineLevel="1" x14ac:dyDescent="0.25">
      <c r="B795" s="291">
        <v>44799</v>
      </c>
      <c r="C795">
        <v>79.209998999999996</v>
      </c>
      <c r="D795" s="289">
        <f t="shared" si="47"/>
        <v>-2.1131970369055231E-2</v>
      </c>
      <c r="E795">
        <v>4057.6599120000001</v>
      </c>
      <c r="F795" s="289">
        <f t="shared" si="47"/>
        <v>-3.3688058702417978E-2</v>
      </c>
    </row>
    <row r="796" spans="2:6" hidden="1" outlineLevel="1" x14ac:dyDescent="0.25">
      <c r="B796" s="291">
        <v>44802</v>
      </c>
      <c r="C796">
        <v>79.589995999999999</v>
      </c>
      <c r="D796" s="289">
        <f t="shared" si="47"/>
        <v>4.7973362554896148E-3</v>
      </c>
      <c r="E796">
        <v>4030.610107</v>
      </c>
      <c r="F796" s="289">
        <f t="shared" si="47"/>
        <v>-6.666355876697283E-3</v>
      </c>
    </row>
    <row r="797" spans="2:6" hidden="1" outlineLevel="1" x14ac:dyDescent="0.25">
      <c r="B797" s="291">
        <v>44803</v>
      </c>
      <c r="C797">
        <v>79</v>
      </c>
      <c r="D797" s="289">
        <f t="shared" si="47"/>
        <v>-7.412941696843367E-3</v>
      </c>
      <c r="E797">
        <v>3986.1599120000001</v>
      </c>
      <c r="F797" s="289">
        <f t="shared" si="47"/>
        <v>-1.1028155495070746E-2</v>
      </c>
    </row>
    <row r="798" spans="2:6" hidden="1" outlineLevel="1" x14ac:dyDescent="0.25">
      <c r="B798" s="291">
        <v>44804</v>
      </c>
      <c r="C798">
        <v>78.209998999999996</v>
      </c>
      <c r="D798" s="289">
        <f t="shared" ref="D798:F813" si="48">C798/C797-1</f>
        <v>-1.0000012658227919E-2</v>
      </c>
      <c r="E798">
        <v>3955</v>
      </c>
      <c r="F798" s="289">
        <f t="shared" si="48"/>
        <v>-7.8170250787470419E-3</v>
      </c>
    </row>
    <row r="799" spans="2:6" hidden="1" outlineLevel="1" x14ac:dyDescent="0.25">
      <c r="B799" s="291">
        <v>44805</v>
      </c>
      <c r="C799">
        <v>79.800003000000004</v>
      </c>
      <c r="D799" s="289">
        <f t="shared" si="48"/>
        <v>2.03299324936701E-2</v>
      </c>
      <c r="E799">
        <v>3966.8500979999999</v>
      </c>
      <c r="F799" s="289">
        <f t="shared" si="48"/>
        <v>2.9962321112515511E-3</v>
      </c>
    </row>
    <row r="800" spans="2:6" hidden="1" outlineLevel="1" x14ac:dyDescent="0.25">
      <c r="B800" s="291">
        <v>44806</v>
      </c>
      <c r="C800">
        <v>78.169998000000007</v>
      </c>
      <c r="D800" s="289">
        <f t="shared" si="48"/>
        <v>-2.0426127051649368E-2</v>
      </c>
      <c r="E800">
        <v>3924.26001</v>
      </c>
      <c r="F800" s="289">
        <f t="shared" si="48"/>
        <v>-1.0736500484722855E-2</v>
      </c>
    </row>
    <row r="801" spans="2:6" hidden="1" outlineLevel="1" x14ac:dyDescent="0.25">
      <c r="B801" s="291">
        <v>44810</v>
      </c>
      <c r="C801">
        <v>77.769997000000004</v>
      </c>
      <c r="D801" s="289">
        <f t="shared" si="48"/>
        <v>-5.1170655012682253E-3</v>
      </c>
      <c r="E801">
        <v>3908.1899410000001</v>
      </c>
      <c r="F801" s="289">
        <f t="shared" si="48"/>
        <v>-4.0950571468376662E-3</v>
      </c>
    </row>
    <row r="802" spans="2:6" hidden="1" outlineLevel="1" x14ac:dyDescent="0.25">
      <c r="B802" s="291">
        <v>44811</v>
      </c>
      <c r="C802">
        <v>78.550003000000004</v>
      </c>
      <c r="D802" s="289">
        <f t="shared" si="48"/>
        <v>1.0029651923478822E-2</v>
      </c>
      <c r="E802">
        <v>3979.8701169999999</v>
      </c>
      <c r="F802" s="289">
        <f t="shared" si="48"/>
        <v>1.8341016450612591E-2</v>
      </c>
    </row>
    <row r="803" spans="2:6" hidden="1" outlineLevel="1" x14ac:dyDescent="0.25">
      <c r="B803" s="291">
        <v>44812</v>
      </c>
      <c r="C803">
        <v>77.839995999999999</v>
      </c>
      <c r="D803" s="289">
        <f t="shared" si="48"/>
        <v>-9.0389175414800071E-3</v>
      </c>
      <c r="E803">
        <v>4006.179932</v>
      </c>
      <c r="F803" s="289">
        <f t="shared" si="48"/>
        <v>6.6107220151778723E-3</v>
      </c>
    </row>
    <row r="804" spans="2:6" hidden="1" outlineLevel="1" x14ac:dyDescent="0.25">
      <c r="B804" s="291">
        <v>44813</v>
      </c>
      <c r="C804">
        <v>78.029999000000004</v>
      </c>
      <c r="D804" s="289">
        <f t="shared" si="48"/>
        <v>2.4409430853518099E-3</v>
      </c>
      <c r="E804">
        <v>4067.360107</v>
      </c>
      <c r="F804" s="289">
        <f t="shared" si="48"/>
        <v>1.5271449619951749E-2</v>
      </c>
    </row>
    <row r="805" spans="2:6" hidden="1" outlineLevel="1" x14ac:dyDescent="0.25">
      <c r="B805" s="291">
        <v>44816</v>
      </c>
      <c r="C805">
        <v>77.900002000000001</v>
      </c>
      <c r="D805" s="289">
        <f t="shared" si="48"/>
        <v>-1.6659874620785775E-3</v>
      </c>
      <c r="E805">
        <v>4110.4101559999999</v>
      </c>
      <c r="F805" s="289">
        <f t="shared" si="48"/>
        <v>1.0584272812704798E-2</v>
      </c>
    </row>
    <row r="806" spans="2:6" hidden="1" outlineLevel="1" x14ac:dyDescent="0.25">
      <c r="B806" s="291">
        <v>44817</v>
      </c>
      <c r="C806">
        <v>75.430000000000007</v>
      </c>
      <c r="D806" s="289">
        <f t="shared" si="48"/>
        <v>-3.170734193305913E-2</v>
      </c>
      <c r="E806">
        <v>3932.6899410000001</v>
      </c>
      <c r="F806" s="289">
        <f t="shared" si="48"/>
        <v>-4.3236613441259619E-2</v>
      </c>
    </row>
    <row r="807" spans="2:6" hidden="1" outlineLevel="1" x14ac:dyDescent="0.25">
      <c r="B807" s="291">
        <v>44818</v>
      </c>
      <c r="C807">
        <v>76.059997999999993</v>
      </c>
      <c r="D807" s="289">
        <f t="shared" si="48"/>
        <v>8.3520880286356292E-3</v>
      </c>
      <c r="E807">
        <v>3946.01001</v>
      </c>
      <c r="F807" s="289">
        <f t="shared" si="48"/>
        <v>3.3870122485712972E-3</v>
      </c>
    </row>
    <row r="808" spans="2:6" hidden="1" outlineLevel="1" x14ac:dyDescent="0.25">
      <c r="B808" s="291">
        <v>44819</v>
      </c>
      <c r="C808">
        <v>75.230002999999996</v>
      </c>
      <c r="D808" s="289">
        <f t="shared" si="48"/>
        <v>-1.0912372098668688E-2</v>
      </c>
      <c r="E808">
        <v>3901.3500979999999</v>
      </c>
      <c r="F808" s="289">
        <f t="shared" si="48"/>
        <v>-1.1317739155963236E-2</v>
      </c>
    </row>
    <row r="809" spans="2:6" hidden="1" outlineLevel="1" x14ac:dyDescent="0.25">
      <c r="B809" s="291">
        <v>44820</v>
      </c>
      <c r="C809">
        <v>75.690002000000007</v>
      </c>
      <c r="D809" s="289">
        <f t="shared" si="48"/>
        <v>6.1145684122863031E-3</v>
      </c>
      <c r="E809">
        <v>3873.330078</v>
      </c>
      <c r="F809" s="289">
        <f t="shared" si="48"/>
        <v>-7.1821342089662954E-3</v>
      </c>
    </row>
    <row r="810" spans="2:6" hidden="1" outlineLevel="1" x14ac:dyDescent="0.25">
      <c r="B810" s="291">
        <v>44823</v>
      </c>
      <c r="C810">
        <v>76.010002</v>
      </c>
      <c r="D810" s="289">
        <f t="shared" si="48"/>
        <v>4.2277710601723584E-3</v>
      </c>
      <c r="E810">
        <v>3899.889893</v>
      </c>
      <c r="F810" s="289">
        <f t="shared" si="48"/>
        <v>6.85710085769764E-3</v>
      </c>
    </row>
    <row r="811" spans="2:6" hidden="1" outlineLevel="1" x14ac:dyDescent="0.25">
      <c r="B811" s="291">
        <v>44824</v>
      </c>
      <c r="C811">
        <v>75.160004000000001</v>
      </c>
      <c r="D811" s="289">
        <f t="shared" si="48"/>
        <v>-1.1182712506703996E-2</v>
      </c>
      <c r="E811">
        <v>3855.929932</v>
      </c>
      <c r="F811" s="289">
        <f t="shared" si="48"/>
        <v>-1.127210311216853E-2</v>
      </c>
    </row>
    <row r="812" spans="2:6" hidden="1" outlineLevel="1" x14ac:dyDescent="0.25">
      <c r="B812" s="291">
        <v>44825</v>
      </c>
      <c r="C812">
        <v>74.900002000000001</v>
      </c>
      <c r="D812" s="289">
        <f t="shared" si="48"/>
        <v>-3.459313280504861E-3</v>
      </c>
      <c r="E812">
        <v>3789.929932</v>
      </c>
      <c r="F812" s="289">
        <f t="shared" si="48"/>
        <v>-1.7116493599189209E-2</v>
      </c>
    </row>
    <row r="813" spans="2:6" hidden="1" outlineLevel="1" x14ac:dyDescent="0.25">
      <c r="B813" s="291">
        <v>44826</v>
      </c>
      <c r="C813">
        <v>75.360000999999997</v>
      </c>
      <c r="D813" s="289">
        <f t="shared" si="48"/>
        <v>6.1415085142453307E-3</v>
      </c>
      <c r="E813">
        <v>3757.98999</v>
      </c>
      <c r="F813" s="289">
        <f t="shared" si="48"/>
        <v>-8.4275811355554175E-3</v>
      </c>
    </row>
    <row r="814" spans="2:6" hidden="1" outlineLevel="1" x14ac:dyDescent="0.25">
      <c r="B814" s="291">
        <v>44827</v>
      </c>
      <c r="C814">
        <v>75.529999000000004</v>
      </c>
      <c r="D814" s="289">
        <f t="shared" ref="D814:F829" si="49">C814/C813-1</f>
        <v>2.2558120719771146E-3</v>
      </c>
      <c r="E814">
        <v>3693.2299800000001</v>
      </c>
      <c r="F814" s="289">
        <f t="shared" si="49"/>
        <v>-1.7232619078902833E-2</v>
      </c>
    </row>
    <row r="815" spans="2:6" hidden="1" outlineLevel="1" x14ac:dyDescent="0.25">
      <c r="B815" s="291">
        <v>44830</v>
      </c>
      <c r="C815">
        <v>75</v>
      </c>
      <c r="D815" s="289">
        <f t="shared" si="49"/>
        <v>-7.017066159368035E-3</v>
      </c>
      <c r="E815">
        <v>3655.040039</v>
      </c>
      <c r="F815" s="289">
        <f t="shared" si="49"/>
        <v>-1.0340526099595904E-2</v>
      </c>
    </row>
    <row r="816" spans="2:6" hidden="1" outlineLevel="1" x14ac:dyDescent="0.25">
      <c r="B816" s="291">
        <v>44831</v>
      </c>
      <c r="C816">
        <v>72.580001999999993</v>
      </c>
      <c r="D816" s="289">
        <f t="shared" si="49"/>
        <v>-3.2266640000000124E-2</v>
      </c>
      <c r="E816">
        <v>3647.290039</v>
      </c>
      <c r="F816" s="289">
        <f t="shared" si="49"/>
        <v>-2.1203598092787157E-3</v>
      </c>
    </row>
    <row r="817" spans="2:6" hidden="1" outlineLevel="1" x14ac:dyDescent="0.25">
      <c r="B817" s="291">
        <v>44832</v>
      </c>
      <c r="C817">
        <v>72.910004000000001</v>
      </c>
      <c r="D817" s="289">
        <f t="shared" si="49"/>
        <v>4.546734512352435E-3</v>
      </c>
      <c r="E817">
        <v>3719.040039</v>
      </c>
      <c r="F817" s="289">
        <f t="shared" si="49"/>
        <v>1.9672139926572019E-2</v>
      </c>
    </row>
    <row r="818" spans="2:6" hidden="1" outlineLevel="1" x14ac:dyDescent="0.25">
      <c r="B818" s="291">
        <v>44833</v>
      </c>
      <c r="C818">
        <v>71.769997000000004</v>
      </c>
      <c r="D818" s="289">
        <f t="shared" si="49"/>
        <v>-1.5635810416359308E-2</v>
      </c>
      <c r="E818">
        <v>3640.469971</v>
      </c>
      <c r="F818" s="289">
        <f t="shared" si="49"/>
        <v>-2.1126437783962726E-2</v>
      </c>
    </row>
    <row r="819" spans="2:6" hidden="1" outlineLevel="1" x14ac:dyDescent="0.25">
      <c r="B819" s="291">
        <v>44834</v>
      </c>
      <c r="C819">
        <v>70.25</v>
      </c>
      <c r="D819" s="289">
        <f t="shared" si="49"/>
        <v>-2.1178724585985464E-2</v>
      </c>
      <c r="E819">
        <v>3585.6201169999999</v>
      </c>
      <c r="F819" s="289">
        <f t="shared" si="49"/>
        <v>-1.5066695903807492E-2</v>
      </c>
    </row>
    <row r="820" spans="2:6" hidden="1" outlineLevel="1" x14ac:dyDescent="0.25">
      <c r="B820" s="291">
        <v>44837</v>
      </c>
      <c r="C820">
        <v>71.110000999999997</v>
      </c>
      <c r="D820" s="289">
        <f t="shared" si="49"/>
        <v>1.2242007117437614E-2</v>
      </c>
      <c r="E820">
        <v>3678.429932</v>
      </c>
      <c r="F820" s="289">
        <f t="shared" si="49"/>
        <v>2.5883895106448618E-2</v>
      </c>
    </row>
    <row r="821" spans="2:6" hidden="1" outlineLevel="1" x14ac:dyDescent="0.25">
      <c r="B821" s="291">
        <v>44838</v>
      </c>
      <c r="C821">
        <v>71.839995999999999</v>
      </c>
      <c r="D821" s="289">
        <f t="shared" si="49"/>
        <v>1.0265714944934334E-2</v>
      </c>
      <c r="E821">
        <v>3790.929932</v>
      </c>
      <c r="F821" s="289">
        <f t="shared" si="49"/>
        <v>3.0583700676563463E-2</v>
      </c>
    </row>
    <row r="822" spans="2:6" hidden="1" outlineLevel="1" x14ac:dyDescent="0.25">
      <c r="B822" s="291">
        <v>44839</v>
      </c>
      <c r="C822">
        <v>71.110000999999997</v>
      </c>
      <c r="D822" s="289">
        <f t="shared" si="49"/>
        <v>-1.0161400899855288E-2</v>
      </c>
      <c r="E822">
        <v>3783.280029</v>
      </c>
      <c r="F822" s="289">
        <f t="shared" si="49"/>
        <v>-2.0179489300040654E-3</v>
      </c>
    </row>
    <row r="823" spans="2:6" hidden="1" outlineLevel="1" x14ac:dyDescent="0.25">
      <c r="B823" s="291">
        <v>44840</v>
      </c>
      <c r="C823">
        <v>69.559997999999993</v>
      </c>
      <c r="D823" s="289">
        <f t="shared" si="49"/>
        <v>-2.1797257463123998E-2</v>
      </c>
      <c r="E823">
        <v>3744.5200199999999</v>
      </c>
      <c r="F823" s="289">
        <f t="shared" si="49"/>
        <v>-1.0245080645073235E-2</v>
      </c>
    </row>
    <row r="824" spans="2:6" hidden="1" outlineLevel="1" x14ac:dyDescent="0.25">
      <c r="B824" s="291">
        <v>44841</v>
      </c>
      <c r="C824">
        <v>68.989998</v>
      </c>
      <c r="D824" s="289">
        <f t="shared" si="49"/>
        <v>-8.1943648129488844E-3</v>
      </c>
      <c r="E824">
        <v>3639.6599120000001</v>
      </c>
      <c r="F824" s="289">
        <f t="shared" si="49"/>
        <v>-2.8003617937660263E-2</v>
      </c>
    </row>
    <row r="825" spans="2:6" hidden="1" outlineLevel="1" x14ac:dyDescent="0.25">
      <c r="B825" s="291">
        <v>44844</v>
      </c>
      <c r="C825">
        <v>68.480002999999996</v>
      </c>
      <c r="D825" s="289">
        <f t="shared" si="49"/>
        <v>-7.3923034466533144E-3</v>
      </c>
      <c r="E825">
        <v>3612.389893</v>
      </c>
      <c r="F825" s="289">
        <f t="shared" si="49"/>
        <v>-7.4924634881655683E-3</v>
      </c>
    </row>
    <row r="826" spans="2:6" hidden="1" outlineLevel="1" x14ac:dyDescent="0.25">
      <c r="B826" s="291">
        <v>44845</v>
      </c>
      <c r="C826">
        <v>69.050003000000004</v>
      </c>
      <c r="D826" s="289">
        <f t="shared" si="49"/>
        <v>8.3235977661977323E-3</v>
      </c>
      <c r="E826">
        <v>3588.8400879999999</v>
      </c>
      <c r="F826" s="289">
        <f t="shared" si="49"/>
        <v>-6.5191758635009256E-3</v>
      </c>
    </row>
    <row r="827" spans="2:6" hidden="1" outlineLevel="1" x14ac:dyDescent="0.25">
      <c r="B827" s="291">
        <v>44846</v>
      </c>
      <c r="C827">
        <v>69.110000999999997</v>
      </c>
      <c r="D827" s="289">
        <f t="shared" si="49"/>
        <v>8.6890655167670694E-4</v>
      </c>
      <c r="E827">
        <v>3577.030029</v>
      </c>
      <c r="F827" s="289">
        <f t="shared" si="49"/>
        <v>-3.2907732611127116E-3</v>
      </c>
    </row>
    <row r="828" spans="2:6" hidden="1" outlineLevel="1" x14ac:dyDescent="0.25">
      <c r="B828" s="291">
        <v>44847</v>
      </c>
      <c r="C828">
        <v>71.010002</v>
      </c>
      <c r="D828" s="289">
        <f t="shared" si="49"/>
        <v>2.7492417486725262E-2</v>
      </c>
      <c r="E828">
        <v>3669.9099120000001</v>
      </c>
      <c r="F828" s="289">
        <f t="shared" si="49"/>
        <v>2.5965642515437759E-2</v>
      </c>
    </row>
    <row r="829" spans="2:6" hidden="1" outlineLevel="1" x14ac:dyDescent="0.25">
      <c r="B829" s="291">
        <v>44848</v>
      </c>
      <c r="C829">
        <v>71.330001999999993</v>
      </c>
      <c r="D829" s="289">
        <f t="shared" si="49"/>
        <v>4.5064074213094774E-3</v>
      </c>
      <c r="E829">
        <v>3583.070068</v>
      </c>
      <c r="F829" s="289">
        <f t="shared" si="49"/>
        <v>-2.3662663684481222E-2</v>
      </c>
    </row>
    <row r="830" spans="2:6" hidden="1" outlineLevel="1" x14ac:dyDescent="0.25">
      <c r="B830" s="291">
        <v>44851</v>
      </c>
      <c r="C830">
        <v>72.139999000000003</v>
      </c>
      <c r="D830" s="289">
        <f t="shared" ref="D830:F845" si="50">C830/C829-1</f>
        <v>1.1355628449302602E-2</v>
      </c>
      <c r="E830">
        <v>3677.9499510000001</v>
      </c>
      <c r="F830" s="289">
        <f t="shared" si="50"/>
        <v>2.6480052357156447E-2</v>
      </c>
    </row>
    <row r="831" spans="2:6" hidden="1" outlineLevel="1" x14ac:dyDescent="0.25">
      <c r="B831" s="291">
        <v>44852</v>
      </c>
      <c r="C831">
        <v>72.919998000000007</v>
      </c>
      <c r="D831" s="289">
        <f t="shared" si="50"/>
        <v>1.0812295686336348E-2</v>
      </c>
      <c r="E831">
        <v>3719.9799800000001</v>
      </c>
      <c r="F831" s="289">
        <f t="shared" si="50"/>
        <v>1.1427569586305086E-2</v>
      </c>
    </row>
    <row r="832" spans="2:6" hidden="1" outlineLevel="1" x14ac:dyDescent="0.25">
      <c r="B832" s="291">
        <v>44853</v>
      </c>
      <c r="C832">
        <v>71.75</v>
      </c>
      <c r="D832" s="289">
        <f t="shared" si="50"/>
        <v>-1.6044953813630247E-2</v>
      </c>
      <c r="E832">
        <v>3695.1599120000001</v>
      </c>
      <c r="F832" s="289">
        <f t="shared" si="50"/>
        <v>-6.6720971976843568E-3</v>
      </c>
    </row>
    <row r="833" spans="2:6" hidden="1" outlineLevel="1" x14ac:dyDescent="0.25">
      <c r="B833" s="291">
        <v>44854</v>
      </c>
      <c r="C833">
        <v>70.25</v>
      </c>
      <c r="D833" s="289">
        <f t="shared" si="50"/>
        <v>-2.0905923344947785E-2</v>
      </c>
      <c r="E833">
        <v>3665.780029</v>
      </c>
      <c r="F833" s="289">
        <f t="shared" si="50"/>
        <v>-7.9509097575423127E-3</v>
      </c>
    </row>
    <row r="834" spans="2:6" hidden="1" outlineLevel="1" x14ac:dyDescent="0.25">
      <c r="B834" s="291">
        <v>44855</v>
      </c>
      <c r="C834">
        <v>71.470000999999996</v>
      </c>
      <c r="D834" s="289">
        <f t="shared" si="50"/>
        <v>1.7366562277580044E-2</v>
      </c>
      <c r="E834">
        <v>3752.75</v>
      </c>
      <c r="F834" s="289">
        <f t="shared" si="50"/>
        <v>2.3724819905171612E-2</v>
      </c>
    </row>
    <row r="835" spans="2:6" hidden="1" outlineLevel="1" x14ac:dyDescent="0.25">
      <c r="B835" s="291">
        <v>44858</v>
      </c>
      <c r="C835">
        <v>72.019997000000004</v>
      </c>
      <c r="D835" s="289">
        <f t="shared" si="50"/>
        <v>7.6954805135656112E-3</v>
      </c>
      <c r="E835">
        <v>3797.3400879999999</v>
      </c>
      <c r="F835" s="289">
        <f t="shared" si="50"/>
        <v>1.1881976683765227E-2</v>
      </c>
    </row>
    <row r="836" spans="2:6" hidden="1" outlineLevel="1" x14ac:dyDescent="0.25">
      <c r="B836" s="291">
        <v>44859</v>
      </c>
      <c r="C836">
        <v>72.760002</v>
      </c>
      <c r="D836" s="289">
        <f t="shared" si="50"/>
        <v>1.027499348548977E-2</v>
      </c>
      <c r="E836">
        <v>3859.110107</v>
      </c>
      <c r="F836" s="289">
        <f t="shared" si="50"/>
        <v>1.6266654439300865E-2</v>
      </c>
    </row>
    <row r="837" spans="2:6" hidden="1" outlineLevel="1" x14ac:dyDescent="0.25">
      <c r="B837" s="291">
        <v>44860</v>
      </c>
      <c r="C837">
        <v>73.430000000000007</v>
      </c>
      <c r="D837" s="289">
        <f t="shared" si="50"/>
        <v>9.2083284989465941E-3</v>
      </c>
      <c r="E837">
        <v>3830.6000979999999</v>
      </c>
      <c r="F837" s="289">
        <f t="shared" si="50"/>
        <v>-7.3877158747779337E-3</v>
      </c>
    </row>
    <row r="838" spans="2:6" hidden="1" outlineLevel="1" x14ac:dyDescent="0.25">
      <c r="B838" s="291">
        <v>44861</v>
      </c>
      <c r="C838">
        <v>73.230002999999996</v>
      </c>
      <c r="D838" s="289">
        <f t="shared" si="50"/>
        <v>-2.723641563393886E-3</v>
      </c>
      <c r="E838">
        <v>3807.3000489999999</v>
      </c>
      <c r="F838" s="289">
        <f t="shared" si="50"/>
        <v>-6.082610662534349E-3</v>
      </c>
    </row>
    <row r="839" spans="2:6" hidden="1" outlineLevel="1" x14ac:dyDescent="0.25">
      <c r="B839" s="291">
        <v>44862</v>
      </c>
      <c r="C839">
        <v>74.639999000000003</v>
      </c>
      <c r="D839" s="289">
        <f t="shared" si="50"/>
        <v>1.9254348521602571E-2</v>
      </c>
      <c r="E839">
        <v>3901.0600589999999</v>
      </c>
      <c r="F839" s="289">
        <f t="shared" si="50"/>
        <v>2.4626377956375345E-2</v>
      </c>
    </row>
    <row r="840" spans="2:6" hidden="1" outlineLevel="1" x14ac:dyDescent="0.25">
      <c r="B840" s="291">
        <v>44865</v>
      </c>
      <c r="C840">
        <v>73.839995999999999</v>
      </c>
      <c r="D840" s="289">
        <f t="shared" si="50"/>
        <v>-1.0718153948528375E-2</v>
      </c>
      <c r="E840">
        <v>3871.9799800000001</v>
      </c>
      <c r="F840" s="289">
        <f t="shared" si="50"/>
        <v>-7.4544043311791652E-3</v>
      </c>
    </row>
    <row r="841" spans="2:6" hidden="1" outlineLevel="1" x14ac:dyDescent="0.25">
      <c r="B841" s="291">
        <v>44866</v>
      </c>
      <c r="C841">
        <v>73.739998</v>
      </c>
      <c r="D841" s="289">
        <f t="shared" si="50"/>
        <v>-1.3542525110645798E-3</v>
      </c>
      <c r="E841">
        <v>3856.1000979999999</v>
      </c>
      <c r="F841" s="289">
        <f t="shared" si="50"/>
        <v>-4.1012303994403254E-3</v>
      </c>
    </row>
    <row r="842" spans="2:6" hidden="1" outlineLevel="1" x14ac:dyDescent="0.25">
      <c r="B842" s="291">
        <v>44867</v>
      </c>
      <c r="C842">
        <v>72.769997000000004</v>
      </c>
      <c r="D842" s="289">
        <f t="shared" si="50"/>
        <v>-1.3154339928243552E-2</v>
      </c>
      <c r="E842">
        <v>3759.6899410000001</v>
      </c>
      <c r="F842" s="289">
        <f t="shared" si="50"/>
        <v>-2.5001985049611042E-2</v>
      </c>
    </row>
    <row r="843" spans="2:6" hidden="1" outlineLevel="1" x14ac:dyDescent="0.25">
      <c r="B843" s="291">
        <v>44868</v>
      </c>
      <c r="C843">
        <v>72.389999000000003</v>
      </c>
      <c r="D843" s="289">
        <f t="shared" si="50"/>
        <v>-5.2219048463063578E-3</v>
      </c>
      <c r="E843">
        <v>3719.889893</v>
      </c>
      <c r="F843" s="289">
        <f t="shared" si="50"/>
        <v>-1.0585992096309393E-2</v>
      </c>
    </row>
    <row r="844" spans="2:6" hidden="1" outlineLevel="1" x14ac:dyDescent="0.25">
      <c r="B844" s="291">
        <v>44869</v>
      </c>
      <c r="C844">
        <v>73.190002000000007</v>
      </c>
      <c r="D844" s="289">
        <f t="shared" si="50"/>
        <v>1.1051291767527172E-2</v>
      </c>
      <c r="E844">
        <v>3770.5500489999999</v>
      </c>
      <c r="F844" s="289">
        <f t="shared" si="50"/>
        <v>1.3618724601319743E-2</v>
      </c>
    </row>
    <row r="845" spans="2:6" hidden="1" outlineLevel="1" x14ac:dyDescent="0.25">
      <c r="B845" s="291">
        <v>44872</v>
      </c>
      <c r="C845">
        <v>73.5</v>
      </c>
      <c r="D845" s="289">
        <f t="shared" si="50"/>
        <v>4.235523862945012E-3</v>
      </c>
      <c r="E845">
        <v>3806.8000489999999</v>
      </c>
      <c r="F845" s="289">
        <f t="shared" si="50"/>
        <v>9.6139819201217502E-3</v>
      </c>
    </row>
    <row r="846" spans="2:6" hidden="1" outlineLevel="1" x14ac:dyDescent="0.25">
      <c r="B846" s="291">
        <v>44873</v>
      </c>
      <c r="C846">
        <v>73.809997999999993</v>
      </c>
      <c r="D846" s="289">
        <f t="shared" ref="D846:F861" si="51">C846/C845-1</f>
        <v>4.2176598639453999E-3</v>
      </c>
      <c r="E846">
        <v>3828.110107</v>
      </c>
      <c r="F846" s="289">
        <f t="shared" si="51"/>
        <v>5.597892646239222E-3</v>
      </c>
    </row>
    <row r="847" spans="2:6" hidden="1" outlineLevel="1" x14ac:dyDescent="0.25">
      <c r="B847" s="291">
        <v>44874</v>
      </c>
      <c r="C847">
        <v>73.459998999999996</v>
      </c>
      <c r="D847" s="289">
        <f t="shared" si="51"/>
        <v>-4.7418914711255811E-3</v>
      </c>
      <c r="E847">
        <v>3748.570068</v>
      </c>
      <c r="F847" s="289">
        <f t="shared" si="51"/>
        <v>-2.0777886940752999E-2</v>
      </c>
    </row>
    <row r="848" spans="2:6" hidden="1" outlineLevel="1" x14ac:dyDescent="0.25">
      <c r="B848" s="291">
        <v>44875</v>
      </c>
      <c r="C848">
        <v>74.970000999999996</v>
      </c>
      <c r="D848" s="289">
        <f t="shared" si="51"/>
        <v>2.0555431807179891E-2</v>
      </c>
      <c r="E848">
        <v>3956.3701169999999</v>
      </c>
      <c r="F848" s="289">
        <f t="shared" si="51"/>
        <v>5.5434484411510221E-2</v>
      </c>
    </row>
    <row r="849" spans="2:6" hidden="1" outlineLevel="1" x14ac:dyDescent="0.25">
      <c r="B849" s="291">
        <v>44876</v>
      </c>
      <c r="C849">
        <v>74.569999999999993</v>
      </c>
      <c r="D849" s="289">
        <f t="shared" si="51"/>
        <v>-5.3354807878420729E-3</v>
      </c>
      <c r="E849">
        <v>3992.929932</v>
      </c>
      <c r="F849" s="289">
        <f t="shared" si="51"/>
        <v>9.2407469268123155E-3</v>
      </c>
    </row>
    <row r="850" spans="2:6" hidden="1" outlineLevel="1" x14ac:dyDescent="0.25">
      <c r="B850" s="291">
        <v>44879</v>
      </c>
      <c r="C850">
        <v>74.569999999999993</v>
      </c>
      <c r="D850" s="289">
        <f t="shared" si="51"/>
        <v>0</v>
      </c>
      <c r="E850">
        <v>3957.25</v>
      </c>
      <c r="F850" s="289">
        <f t="shared" si="51"/>
        <v>-8.9357771379996453E-3</v>
      </c>
    </row>
    <row r="851" spans="2:6" hidden="1" outlineLevel="1" x14ac:dyDescent="0.25">
      <c r="B851" s="291">
        <v>44880</v>
      </c>
      <c r="C851">
        <v>75.319999999999993</v>
      </c>
      <c r="D851" s="289">
        <f t="shared" si="51"/>
        <v>1.0057663939922135E-2</v>
      </c>
      <c r="E851">
        <v>3991.7299800000001</v>
      </c>
      <c r="F851" s="289">
        <f t="shared" si="51"/>
        <v>8.7131164318656751E-3</v>
      </c>
    </row>
    <row r="852" spans="2:6" hidden="1" outlineLevel="1" x14ac:dyDescent="0.25">
      <c r="B852" s="291">
        <v>44881</v>
      </c>
      <c r="C852">
        <v>76.010002</v>
      </c>
      <c r="D852" s="289">
        <f t="shared" si="51"/>
        <v>9.1609399893788357E-3</v>
      </c>
      <c r="E852">
        <v>3958.790039</v>
      </c>
      <c r="F852" s="289">
        <f t="shared" si="51"/>
        <v>-8.2520463971864633E-3</v>
      </c>
    </row>
    <row r="853" spans="2:6" hidden="1" outlineLevel="1" x14ac:dyDescent="0.25">
      <c r="B853" s="291">
        <v>44882</v>
      </c>
      <c r="C853">
        <v>75.290001000000004</v>
      </c>
      <c r="D853" s="289">
        <f t="shared" si="51"/>
        <v>-9.472450744048122E-3</v>
      </c>
      <c r="E853">
        <v>3946.5600589999999</v>
      </c>
      <c r="F853" s="289">
        <f t="shared" si="51"/>
        <v>-3.0893227171727711E-3</v>
      </c>
    </row>
    <row r="854" spans="2:6" hidden="1" outlineLevel="1" x14ac:dyDescent="0.25">
      <c r="B854" s="291">
        <v>44883</v>
      </c>
      <c r="C854">
        <v>76.459998999999996</v>
      </c>
      <c r="D854" s="289">
        <f t="shared" si="51"/>
        <v>1.5539885568602863E-2</v>
      </c>
      <c r="E854">
        <v>3965.3400879999999</v>
      </c>
      <c r="F854" s="289">
        <f t="shared" si="51"/>
        <v>4.7585818331010721E-3</v>
      </c>
    </row>
    <row r="855" spans="2:6" hidden="1" outlineLevel="1" x14ac:dyDescent="0.25">
      <c r="B855" s="291">
        <v>44886</v>
      </c>
      <c r="C855">
        <v>76.919998000000007</v>
      </c>
      <c r="D855" s="289">
        <f t="shared" si="51"/>
        <v>6.01620463008401E-3</v>
      </c>
      <c r="E855">
        <v>3949.9399410000001</v>
      </c>
      <c r="F855" s="289">
        <f t="shared" si="51"/>
        <v>-3.883688828255627E-3</v>
      </c>
    </row>
    <row r="856" spans="2:6" hidden="1" outlineLevel="1" x14ac:dyDescent="0.25">
      <c r="B856" s="291">
        <v>44887</v>
      </c>
      <c r="C856">
        <v>76.370002999999997</v>
      </c>
      <c r="D856" s="289">
        <f t="shared" si="51"/>
        <v>-7.1502211947536143E-3</v>
      </c>
      <c r="E856">
        <v>4003.580078</v>
      </c>
      <c r="F856" s="289">
        <f t="shared" si="51"/>
        <v>1.3579988000126386E-2</v>
      </c>
    </row>
    <row r="857" spans="2:6" hidden="1" outlineLevel="1" x14ac:dyDescent="0.25">
      <c r="B857" s="291">
        <v>44888</v>
      </c>
      <c r="C857">
        <v>76.930000000000007</v>
      </c>
      <c r="D857" s="289">
        <f t="shared" si="51"/>
        <v>7.3326827026576336E-3</v>
      </c>
      <c r="E857">
        <v>4027.26001</v>
      </c>
      <c r="F857" s="289">
        <f t="shared" si="51"/>
        <v>5.9146892377957005E-3</v>
      </c>
    </row>
    <row r="858" spans="2:6" hidden="1" outlineLevel="1" x14ac:dyDescent="0.25">
      <c r="B858" s="291">
        <v>44890</v>
      </c>
      <c r="C858">
        <v>76.769997000000004</v>
      </c>
      <c r="D858" s="289">
        <f t="shared" si="51"/>
        <v>-2.0798518133368082E-3</v>
      </c>
      <c r="E858">
        <v>4026.1201169999999</v>
      </c>
      <c r="F858" s="289">
        <f t="shared" si="51"/>
        <v>-2.8304430237169331E-4</v>
      </c>
    </row>
    <row r="859" spans="2:6" hidden="1" outlineLevel="1" x14ac:dyDescent="0.25">
      <c r="B859" s="291">
        <v>44893</v>
      </c>
      <c r="C859">
        <v>76.379997000000003</v>
      </c>
      <c r="D859" s="289">
        <f t="shared" si="51"/>
        <v>-5.0801096162605974E-3</v>
      </c>
      <c r="E859">
        <v>3963.9399410000001</v>
      </c>
      <c r="F859" s="289">
        <f t="shared" si="51"/>
        <v>-1.5444192968175119E-2</v>
      </c>
    </row>
    <row r="860" spans="2:6" hidden="1" outlineLevel="1" x14ac:dyDescent="0.25">
      <c r="B860" s="291">
        <v>44894</v>
      </c>
      <c r="C860">
        <v>75.970000999999996</v>
      </c>
      <c r="D860" s="289">
        <f t="shared" si="51"/>
        <v>-5.3678451964328522E-3</v>
      </c>
      <c r="E860">
        <v>3957.6298830000001</v>
      </c>
      <c r="F860" s="289">
        <f t="shared" si="51"/>
        <v>-1.5918651881512424E-3</v>
      </c>
    </row>
    <row r="861" spans="2:6" hidden="1" outlineLevel="1" x14ac:dyDescent="0.25">
      <c r="B861" s="291">
        <v>44895</v>
      </c>
      <c r="C861">
        <v>77.480002999999996</v>
      </c>
      <c r="D861" s="289">
        <f t="shared" si="51"/>
        <v>1.9876293012027313E-2</v>
      </c>
      <c r="E861">
        <v>4080.110107</v>
      </c>
      <c r="F861" s="289">
        <f t="shared" si="51"/>
        <v>3.094787224194806E-2</v>
      </c>
    </row>
    <row r="862" spans="2:6" hidden="1" outlineLevel="1" x14ac:dyDescent="0.25">
      <c r="B862" s="291">
        <v>44896</v>
      </c>
      <c r="C862">
        <v>77.75</v>
      </c>
      <c r="D862" s="289">
        <f t="shared" ref="D862:F877" si="52">C862/C861-1</f>
        <v>3.4847314086965397E-3</v>
      </c>
      <c r="E862">
        <v>4076.570068</v>
      </c>
      <c r="F862" s="289">
        <f t="shared" si="52"/>
        <v>-8.6763320282134959E-4</v>
      </c>
    </row>
    <row r="863" spans="2:6" hidden="1" outlineLevel="1" x14ac:dyDescent="0.25">
      <c r="B863" s="291">
        <v>44897</v>
      </c>
      <c r="C863">
        <v>78.169998000000007</v>
      </c>
      <c r="D863" s="289">
        <f t="shared" si="52"/>
        <v>5.4019035369776702E-3</v>
      </c>
      <c r="E863">
        <v>4071.6999510000001</v>
      </c>
      <c r="F863" s="289">
        <f t="shared" si="52"/>
        <v>-1.1946604421764206E-3</v>
      </c>
    </row>
    <row r="864" spans="2:6" hidden="1" outlineLevel="1" x14ac:dyDescent="0.25">
      <c r="B864" s="291">
        <v>44900</v>
      </c>
      <c r="C864">
        <v>77.120002999999997</v>
      </c>
      <c r="D864" s="289">
        <f t="shared" si="52"/>
        <v>-1.343219939701179E-2</v>
      </c>
      <c r="E864">
        <v>3998.8400879999999</v>
      </c>
      <c r="F864" s="289">
        <f t="shared" si="52"/>
        <v>-1.7894212215245897E-2</v>
      </c>
    </row>
    <row r="865" spans="2:6" hidden="1" outlineLevel="1" x14ac:dyDescent="0.25">
      <c r="B865" s="291">
        <v>44901</v>
      </c>
      <c r="C865">
        <v>77.209998999999996</v>
      </c>
      <c r="D865" s="289">
        <f t="shared" si="52"/>
        <v>1.1669605355175694E-3</v>
      </c>
      <c r="E865">
        <v>3941.26001</v>
      </c>
      <c r="F865" s="289">
        <f t="shared" si="52"/>
        <v>-1.4399194949753169E-2</v>
      </c>
    </row>
    <row r="866" spans="2:6" hidden="1" outlineLevel="1" x14ac:dyDescent="0.25">
      <c r="B866" s="291">
        <v>44902</v>
      </c>
      <c r="C866">
        <v>77.550003000000004</v>
      </c>
      <c r="D866" s="289">
        <f t="shared" si="52"/>
        <v>4.4036265302893618E-3</v>
      </c>
      <c r="E866">
        <v>3933.919922</v>
      </c>
      <c r="F866" s="289">
        <f t="shared" si="52"/>
        <v>-1.8623709121895482E-3</v>
      </c>
    </row>
    <row r="867" spans="2:6" hidden="1" outlineLevel="1" x14ac:dyDescent="0.25">
      <c r="B867" s="291">
        <v>44903</v>
      </c>
      <c r="C867">
        <v>78.139999000000003</v>
      </c>
      <c r="D867" s="289">
        <f t="shared" si="52"/>
        <v>7.6079429681001898E-3</v>
      </c>
      <c r="E867">
        <v>3963.51001</v>
      </c>
      <c r="F867" s="289">
        <f t="shared" si="52"/>
        <v>7.5217819850681433E-3</v>
      </c>
    </row>
    <row r="868" spans="2:6" hidden="1" outlineLevel="1" x14ac:dyDescent="0.25">
      <c r="B868" s="291">
        <v>44904</v>
      </c>
      <c r="C868">
        <v>77.779999000000004</v>
      </c>
      <c r="D868" s="289">
        <f t="shared" si="52"/>
        <v>-4.6071154927964653E-3</v>
      </c>
      <c r="E868">
        <v>3934.3798830000001</v>
      </c>
      <c r="F868" s="289">
        <f t="shared" si="52"/>
        <v>-7.3495782592964964E-3</v>
      </c>
    </row>
    <row r="869" spans="2:6" hidden="1" outlineLevel="1" x14ac:dyDescent="0.25">
      <c r="B869" s="291">
        <v>44907</v>
      </c>
      <c r="C869">
        <v>78.610000999999997</v>
      </c>
      <c r="D869" s="289">
        <f t="shared" si="52"/>
        <v>1.0671149532928137E-2</v>
      </c>
      <c r="E869">
        <v>3990.5600589999999</v>
      </c>
      <c r="F869" s="289">
        <f t="shared" si="52"/>
        <v>1.4279296273028486E-2</v>
      </c>
    </row>
    <row r="870" spans="2:6" hidden="1" outlineLevel="1" x14ac:dyDescent="0.25">
      <c r="B870" s="291">
        <v>44908</v>
      </c>
      <c r="C870">
        <v>78.75</v>
      </c>
      <c r="D870" s="289">
        <f t="shared" si="52"/>
        <v>1.7809311565839536E-3</v>
      </c>
      <c r="E870">
        <v>4019.6499020000001</v>
      </c>
      <c r="F870" s="289">
        <f t="shared" si="52"/>
        <v>7.2896642501076858E-3</v>
      </c>
    </row>
    <row r="871" spans="2:6" hidden="1" outlineLevel="1" x14ac:dyDescent="0.25">
      <c r="B871" s="291">
        <v>44909</v>
      </c>
      <c r="C871">
        <v>79.339995999999999</v>
      </c>
      <c r="D871" s="289">
        <f t="shared" si="52"/>
        <v>7.4920126984125979E-3</v>
      </c>
      <c r="E871">
        <v>3995.320068</v>
      </c>
      <c r="F871" s="289">
        <f t="shared" si="52"/>
        <v>-6.052724638505147E-3</v>
      </c>
    </row>
    <row r="872" spans="2:6" hidden="1" outlineLevel="1" x14ac:dyDescent="0.25">
      <c r="B872" s="291">
        <v>44910</v>
      </c>
      <c r="C872">
        <v>77.879997000000003</v>
      </c>
      <c r="D872" s="289">
        <f t="shared" si="52"/>
        <v>-1.8401803297292796E-2</v>
      </c>
      <c r="E872">
        <v>3895.75</v>
      </c>
      <c r="F872" s="289">
        <f t="shared" si="52"/>
        <v>-2.492167493600661E-2</v>
      </c>
    </row>
    <row r="873" spans="2:6" hidden="1" outlineLevel="1" x14ac:dyDescent="0.25">
      <c r="B873" s="291">
        <v>44911</v>
      </c>
      <c r="C873">
        <v>77.760002</v>
      </c>
      <c r="D873" s="289">
        <f t="shared" si="52"/>
        <v>-1.5407679073229374E-3</v>
      </c>
      <c r="E873">
        <v>3852.360107</v>
      </c>
      <c r="F873" s="289">
        <f t="shared" si="52"/>
        <v>-1.1137750882371789E-2</v>
      </c>
    </row>
    <row r="874" spans="2:6" hidden="1" outlineLevel="1" x14ac:dyDescent="0.25">
      <c r="B874" s="291">
        <v>44914</v>
      </c>
      <c r="C874">
        <v>77.980002999999996</v>
      </c>
      <c r="D874" s="289">
        <f t="shared" si="52"/>
        <v>2.8292308943098643E-3</v>
      </c>
      <c r="E874">
        <v>3817.6599120000001</v>
      </c>
      <c r="F874" s="289">
        <f t="shared" si="52"/>
        <v>-9.0075159217195555E-3</v>
      </c>
    </row>
    <row r="875" spans="2:6" hidden="1" outlineLevel="1" x14ac:dyDescent="0.25">
      <c r="B875" s="291">
        <v>44915</v>
      </c>
      <c r="C875">
        <v>77.690002000000007</v>
      </c>
      <c r="D875" s="289">
        <f t="shared" si="52"/>
        <v>-3.7189149633655161E-3</v>
      </c>
      <c r="E875">
        <v>3821.6201169999999</v>
      </c>
      <c r="F875" s="289">
        <f t="shared" si="52"/>
        <v>1.0373383411004244E-3</v>
      </c>
    </row>
    <row r="876" spans="2:6" hidden="1" outlineLevel="1" x14ac:dyDescent="0.25">
      <c r="B876" s="291">
        <v>44916</v>
      </c>
      <c r="C876">
        <v>78.989998</v>
      </c>
      <c r="D876" s="289">
        <f t="shared" si="52"/>
        <v>1.6733118374742562E-2</v>
      </c>
      <c r="E876">
        <v>3878.4399410000001</v>
      </c>
      <c r="F876" s="289">
        <f t="shared" si="52"/>
        <v>1.4867993746224162E-2</v>
      </c>
    </row>
    <row r="877" spans="2:6" hidden="1" outlineLevel="1" x14ac:dyDescent="0.25">
      <c r="B877" s="291">
        <v>44917</v>
      </c>
      <c r="C877">
        <v>79.279999000000004</v>
      </c>
      <c r="D877" s="289">
        <f t="shared" si="52"/>
        <v>3.6713635566874014E-3</v>
      </c>
      <c r="E877">
        <v>3822.389893</v>
      </c>
      <c r="F877" s="289">
        <f t="shared" si="52"/>
        <v>-1.4451699356609948E-2</v>
      </c>
    </row>
    <row r="878" spans="2:6" hidden="1" outlineLevel="1" x14ac:dyDescent="0.25">
      <c r="B878" s="291">
        <v>44918</v>
      </c>
      <c r="C878">
        <v>79.449996999999996</v>
      </c>
      <c r="D878" s="289">
        <f t="shared" ref="D878:F893" si="53">C878/C877-1</f>
        <v>2.1442734881971237E-3</v>
      </c>
      <c r="E878">
        <v>3844.820068</v>
      </c>
      <c r="F878" s="289">
        <f t="shared" si="53"/>
        <v>5.8681023202464822E-3</v>
      </c>
    </row>
    <row r="879" spans="2:6" hidden="1" outlineLevel="1" x14ac:dyDescent="0.25">
      <c r="B879" s="291">
        <v>44922</v>
      </c>
      <c r="C879">
        <v>79.940002000000007</v>
      </c>
      <c r="D879" s="289">
        <f t="shared" si="53"/>
        <v>6.1674640466005126E-3</v>
      </c>
      <c r="E879">
        <v>3829.25</v>
      </c>
      <c r="F879" s="289">
        <f t="shared" si="53"/>
        <v>-4.0496220173182884E-3</v>
      </c>
    </row>
    <row r="880" spans="2:6" hidden="1" outlineLevel="1" x14ac:dyDescent="0.25">
      <c r="B880" s="291">
        <v>44923</v>
      </c>
      <c r="C880">
        <v>78.819999999999993</v>
      </c>
      <c r="D880" s="289">
        <f t="shared" si="53"/>
        <v>-1.4010532549148746E-2</v>
      </c>
      <c r="E880">
        <v>3783.219971</v>
      </c>
      <c r="F880" s="289">
        <f t="shared" si="53"/>
        <v>-1.2020638245087145E-2</v>
      </c>
    </row>
    <row r="881" spans="2:6" hidden="1" outlineLevel="1" x14ac:dyDescent="0.25">
      <c r="B881" s="291">
        <v>44924</v>
      </c>
      <c r="C881">
        <v>79.370002999999997</v>
      </c>
      <c r="D881" s="289">
        <f t="shared" si="53"/>
        <v>6.9779624460797329E-3</v>
      </c>
      <c r="E881">
        <v>3849.280029</v>
      </c>
      <c r="F881" s="289">
        <f t="shared" si="53"/>
        <v>1.7461331486505749E-2</v>
      </c>
    </row>
    <row r="882" spans="2:6" hidden="1" outlineLevel="1" x14ac:dyDescent="0.25">
      <c r="B882" s="291">
        <v>44925</v>
      </c>
      <c r="C882">
        <v>78.790001000000004</v>
      </c>
      <c r="D882" s="289">
        <f t="shared" si="53"/>
        <v>-7.3075718543187396E-3</v>
      </c>
      <c r="E882">
        <v>3839.5</v>
      </c>
      <c r="F882" s="289">
        <f t="shared" si="53"/>
        <v>-2.5407424054156857E-3</v>
      </c>
    </row>
    <row r="883" spans="2:6" hidden="1" outlineLevel="1" x14ac:dyDescent="0.25">
      <c r="B883" s="291">
        <v>44929</v>
      </c>
      <c r="C883">
        <v>79.129997000000003</v>
      </c>
      <c r="D883" s="289">
        <f t="shared" si="53"/>
        <v>4.3152176124481301E-3</v>
      </c>
      <c r="E883">
        <v>3824.139893</v>
      </c>
      <c r="F883" s="289">
        <f t="shared" si="53"/>
        <v>-4.0005487693710595E-3</v>
      </c>
    </row>
    <row r="884" spans="2:6" hidden="1" outlineLevel="1" x14ac:dyDescent="0.25">
      <c r="B884" s="291">
        <v>44930</v>
      </c>
      <c r="C884">
        <v>79.639999000000003</v>
      </c>
      <c r="D884" s="289">
        <f t="shared" si="53"/>
        <v>6.4451158768525918E-3</v>
      </c>
      <c r="E884">
        <v>3852.969971</v>
      </c>
      <c r="F884" s="289">
        <f t="shared" si="53"/>
        <v>7.5389705415256358E-3</v>
      </c>
    </row>
    <row r="885" spans="2:6" hidden="1" outlineLevel="1" x14ac:dyDescent="0.25">
      <c r="B885" s="291">
        <v>44931</v>
      </c>
      <c r="C885">
        <v>78.540001000000004</v>
      </c>
      <c r="D885" s="289">
        <f t="shared" si="53"/>
        <v>-1.3812129756556102E-2</v>
      </c>
      <c r="E885">
        <v>3808.1000979999999</v>
      </c>
      <c r="F885" s="289">
        <f t="shared" si="53"/>
        <v>-1.1645528861558896E-2</v>
      </c>
    </row>
    <row r="886" spans="2:6" hidden="1" outlineLevel="1" x14ac:dyDescent="0.25">
      <c r="B886" s="291">
        <v>44932</v>
      </c>
      <c r="C886">
        <v>79.980002999999996</v>
      </c>
      <c r="D886" s="289">
        <f t="shared" si="53"/>
        <v>1.8334631801188772E-2</v>
      </c>
      <c r="E886">
        <v>3895.080078</v>
      </c>
      <c r="F886" s="289">
        <f t="shared" si="53"/>
        <v>2.2840780904283875E-2</v>
      </c>
    </row>
    <row r="887" spans="2:6" hidden="1" outlineLevel="1" x14ac:dyDescent="0.25">
      <c r="B887" s="291">
        <v>44935</v>
      </c>
      <c r="C887">
        <v>78.730002999999996</v>
      </c>
      <c r="D887" s="289">
        <f t="shared" si="53"/>
        <v>-1.5628906640576146E-2</v>
      </c>
      <c r="E887">
        <v>3892.0900879999999</v>
      </c>
      <c r="F887" s="289">
        <f t="shared" si="53"/>
        <v>-7.6763248511579896E-4</v>
      </c>
    </row>
    <row r="888" spans="2:6" hidden="1" outlineLevel="1" x14ac:dyDescent="0.25">
      <c r="B888" s="291">
        <v>44936</v>
      </c>
      <c r="C888">
        <v>78.309997999999993</v>
      </c>
      <c r="D888" s="289">
        <f t="shared" si="53"/>
        <v>-5.3347514796868722E-3</v>
      </c>
      <c r="E888">
        <v>3919.25</v>
      </c>
      <c r="F888" s="289">
        <f t="shared" si="53"/>
        <v>6.9782331307641776E-3</v>
      </c>
    </row>
    <row r="889" spans="2:6" hidden="1" outlineLevel="1" x14ac:dyDescent="0.25">
      <c r="B889" s="291">
        <v>44937</v>
      </c>
      <c r="C889">
        <v>77.129997000000003</v>
      </c>
      <c r="D889" s="289">
        <f t="shared" si="53"/>
        <v>-1.5068331377048327E-2</v>
      </c>
      <c r="E889">
        <v>3969.610107</v>
      </c>
      <c r="F889" s="289">
        <f t="shared" si="53"/>
        <v>1.2849424507239915E-2</v>
      </c>
    </row>
    <row r="890" spans="2:6" hidden="1" outlineLevel="1" x14ac:dyDescent="0.25">
      <c r="B890" s="291">
        <v>44938</v>
      </c>
      <c r="C890">
        <v>76.839995999999999</v>
      </c>
      <c r="D890" s="289">
        <f t="shared" si="53"/>
        <v>-3.759899018276891E-3</v>
      </c>
      <c r="E890">
        <v>3983.169922</v>
      </c>
      <c r="F890" s="289">
        <f t="shared" si="53"/>
        <v>3.4159060044935963E-3</v>
      </c>
    </row>
    <row r="891" spans="2:6" hidden="1" outlineLevel="1" x14ac:dyDescent="0.25">
      <c r="B891" s="291">
        <v>44939</v>
      </c>
      <c r="C891">
        <v>77.849997999999999</v>
      </c>
      <c r="D891" s="289">
        <f t="shared" si="53"/>
        <v>1.3144222443738807E-2</v>
      </c>
      <c r="E891">
        <v>3999.0900879999999</v>
      </c>
      <c r="F891" s="289">
        <f t="shared" si="53"/>
        <v>3.9968583594862661E-3</v>
      </c>
    </row>
    <row r="892" spans="2:6" hidden="1" outlineLevel="1" x14ac:dyDescent="0.25">
      <c r="B892" s="291">
        <v>44943</v>
      </c>
      <c r="C892">
        <v>78.230002999999996</v>
      </c>
      <c r="D892" s="289">
        <f t="shared" si="53"/>
        <v>4.8812461112714978E-3</v>
      </c>
      <c r="E892">
        <v>3990.969971</v>
      </c>
      <c r="F892" s="289">
        <f t="shared" si="53"/>
        <v>-2.0304911420639948E-3</v>
      </c>
    </row>
    <row r="893" spans="2:6" hidden="1" outlineLevel="1" x14ac:dyDescent="0.25">
      <c r="B893" s="291">
        <v>44944</v>
      </c>
      <c r="C893">
        <v>76.319999999999993</v>
      </c>
      <c r="D893" s="289">
        <f t="shared" si="53"/>
        <v>-2.4415223402202924E-2</v>
      </c>
      <c r="E893">
        <v>3928.860107</v>
      </c>
      <c r="F893" s="289">
        <f t="shared" si="53"/>
        <v>-1.5562598679347506E-2</v>
      </c>
    </row>
    <row r="894" spans="2:6" hidden="1" outlineLevel="1" x14ac:dyDescent="0.25">
      <c r="B894" s="291">
        <v>44945</v>
      </c>
      <c r="C894">
        <v>75.199996999999996</v>
      </c>
      <c r="D894" s="289">
        <f t="shared" ref="D894:F909" si="54">C894/C893-1</f>
        <v>-1.4675091719077549E-2</v>
      </c>
      <c r="E894">
        <v>3898.8500979999999</v>
      </c>
      <c r="F894" s="289">
        <f t="shared" si="54"/>
        <v>-7.6383501022425637E-3</v>
      </c>
    </row>
    <row r="895" spans="2:6" hidden="1" outlineLevel="1" x14ac:dyDescent="0.25">
      <c r="B895" s="291">
        <v>44946</v>
      </c>
      <c r="C895">
        <v>75.440002000000007</v>
      </c>
      <c r="D895" s="289">
        <f t="shared" si="54"/>
        <v>3.1915559783866065E-3</v>
      </c>
      <c r="E895">
        <v>3972.610107</v>
      </c>
      <c r="F895" s="289">
        <f t="shared" si="54"/>
        <v>1.8918400847941497E-2</v>
      </c>
    </row>
    <row r="896" spans="2:6" hidden="1" outlineLevel="1" x14ac:dyDescent="0.25">
      <c r="B896" s="291">
        <v>44949</v>
      </c>
      <c r="C896">
        <v>75.5</v>
      </c>
      <c r="D896" s="289">
        <f t="shared" si="54"/>
        <v>7.9530750807754735E-4</v>
      </c>
      <c r="E896">
        <v>4019.8100589999999</v>
      </c>
      <c r="F896" s="289">
        <f t="shared" si="54"/>
        <v>1.1881345193385684E-2</v>
      </c>
    </row>
    <row r="897" spans="2:6" hidden="1" outlineLevel="1" x14ac:dyDescent="0.25">
      <c r="B897" s="291">
        <v>44950</v>
      </c>
      <c r="C897">
        <v>75.940002000000007</v>
      </c>
      <c r="D897" s="289">
        <f t="shared" si="54"/>
        <v>5.8278410596026564E-3</v>
      </c>
      <c r="E897">
        <v>4016.9499510000001</v>
      </c>
      <c r="F897" s="289">
        <f t="shared" si="54"/>
        <v>-7.1150326956281873E-4</v>
      </c>
    </row>
    <row r="898" spans="2:6" hidden="1" outlineLevel="1" x14ac:dyDescent="0.25">
      <c r="B898" s="291">
        <v>44951</v>
      </c>
      <c r="C898">
        <v>75.769997000000004</v>
      </c>
      <c r="D898" s="289">
        <f t="shared" si="54"/>
        <v>-2.2386752109909702E-3</v>
      </c>
      <c r="E898">
        <v>4016.219971</v>
      </c>
      <c r="F898" s="289">
        <f t="shared" si="54"/>
        <v>-1.8172494278112516E-4</v>
      </c>
    </row>
    <row r="899" spans="2:6" hidden="1" outlineLevel="1" x14ac:dyDescent="0.25">
      <c r="B899" s="291">
        <v>44952</v>
      </c>
      <c r="C899">
        <v>75.529999000000004</v>
      </c>
      <c r="D899" s="289">
        <f t="shared" si="54"/>
        <v>-3.167454262932079E-3</v>
      </c>
      <c r="E899">
        <v>4060.429932</v>
      </c>
      <c r="F899" s="289">
        <f t="shared" si="54"/>
        <v>1.1007853483929519E-2</v>
      </c>
    </row>
    <row r="900" spans="2:6" hidden="1" outlineLevel="1" x14ac:dyDescent="0.25">
      <c r="B900" s="291">
        <v>44953</v>
      </c>
      <c r="C900">
        <v>71.589995999999999</v>
      </c>
      <c r="D900" s="289">
        <f t="shared" si="54"/>
        <v>-5.2164743177078643E-2</v>
      </c>
      <c r="E900">
        <v>4070.5600589999999</v>
      </c>
      <c r="F900" s="289">
        <f t="shared" si="54"/>
        <v>2.4948409822724837E-3</v>
      </c>
    </row>
    <row r="901" spans="2:6" hidden="1" outlineLevel="1" x14ac:dyDescent="0.25">
      <c r="B901" s="291">
        <v>44956</v>
      </c>
      <c r="C901">
        <v>72.879997000000003</v>
      </c>
      <c r="D901" s="289">
        <f t="shared" si="54"/>
        <v>1.8019291410492633E-2</v>
      </c>
      <c r="E901">
        <v>4017.7700199999999</v>
      </c>
      <c r="F901" s="289">
        <f t="shared" si="54"/>
        <v>-1.2968740968034909E-2</v>
      </c>
    </row>
    <row r="902" spans="2:6" hidden="1" outlineLevel="1" x14ac:dyDescent="0.25">
      <c r="B902" s="291">
        <v>44957</v>
      </c>
      <c r="C902">
        <v>74.529999000000004</v>
      </c>
      <c r="D902" s="289">
        <f t="shared" si="54"/>
        <v>2.2639984466519714E-2</v>
      </c>
      <c r="E902">
        <v>4076.6000979999999</v>
      </c>
      <c r="F902" s="289">
        <f t="shared" si="54"/>
        <v>1.4642470252690165E-2</v>
      </c>
    </row>
    <row r="903" spans="2:6" hidden="1" outlineLevel="1" x14ac:dyDescent="0.25">
      <c r="B903" s="291">
        <v>44958</v>
      </c>
      <c r="C903">
        <v>74.989998</v>
      </c>
      <c r="D903" s="289">
        <f t="shared" si="54"/>
        <v>6.1719979360257415E-3</v>
      </c>
      <c r="E903">
        <v>4119.2099609999996</v>
      </c>
      <c r="F903" s="289">
        <f t="shared" si="54"/>
        <v>1.0452303874717739E-2</v>
      </c>
    </row>
    <row r="904" spans="2:6" hidden="1" outlineLevel="1" x14ac:dyDescent="0.25">
      <c r="B904" s="291">
        <v>44959</v>
      </c>
      <c r="C904">
        <v>73.730002999999996</v>
      </c>
      <c r="D904" s="289">
        <f t="shared" si="54"/>
        <v>-1.6802174071267495E-2</v>
      </c>
      <c r="E904">
        <v>4179.7597660000001</v>
      </c>
      <c r="F904" s="289">
        <f t="shared" si="54"/>
        <v>1.4699373319951192E-2</v>
      </c>
    </row>
    <row r="905" spans="2:6" hidden="1" outlineLevel="1" x14ac:dyDescent="0.25">
      <c r="B905" s="291">
        <v>44960</v>
      </c>
      <c r="C905">
        <v>74.290001000000004</v>
      </c>
      <c r="D905" s="289">
        <f t="shared" si="54"/>
        <v>7.5952526409093224E-3</v>
      </c>
      <c r="E905">
        <v>4136.4799800000001</v>
      </c>
      <c r="F905" s="289">
        <f t="shared" si="54"/>
        <v>-1.0354610892247207E-2</v>
      </c>
    </row>
    <row r="906" spans="2:6" hidden="1" outlineLevel="1" x14ac:dyDescent="0.25">
      <c r="B906" s="291">
        <v>44963</v>
      </c>
      <c r="C906">
        <v>73.849997999999999</v>
      </c>
      <c r="D906" s="289">
        <f t="shared" si="54"/>
        <v>-5.9227755293744799E-3</v>
      </c>
      <c r="E906">
        <v>4111.080078</v>
      </c>
      <c r="F906" s="289">
        <f t="shared" si="54"/>
        <v>-6.140462935348312E-3</v>
      </c>
    </row>
    <row r="907" spans="2:6" hidden="1" outlineLevel="1" x14ac:dyDescent="0.25">
      <c r="B907" s="291">
        <v>44964</v>
      </c>
      <c r="C907">
        <v>73.449996999999996</v>
      </c>
      <c r="D907" s="289">
        <f t="shared" si="54"/>
        <v>-5.4163982509519704E-3</v>
      </c>
      <c r="E907">
        <v>4164</v>
      </c>
      <c r="F907" s="289">
        <f t="shared" si="54"/>
        <v>1.2872510628823663E-2</v>
      </c>
    </row>
    <row r="908" spans="2:6" hidden="1" outlineLevel="1" x14ac:dyDescent="0.25">
      <c r="B908" s="291">
        <v>44965</v>
      </c>
      <c r="C908">
        <v>73.360000999999997</v>
      </c>
      <c r="D908" s="289">
        <f t="shared" si="54"/>
        <v>-1.2252689404466111E-3</v>
      </c>
      <c r="E908">
        <v>4117.8598629999997</v>
      </c>
      <c r="F908" s="289">
        <f t="shared" si="54"/>
        <v>-1.1080724543708009E-2</v>
      </c>
    </row>
    <row r="909" spans="2:6" hidden="1" outlineLevel="1" x14ac:dyDescent="0.25">
      <c r="B909" s="291">
        <v>44966</v>
      </c>
      <c r="C909">
        <v>72.830001999999993</v>
      </c>
      <c r="D909" s="289">
        <f t="shared" si="54"/>
        <v>-7.2246318535356124E-3</v>
      </c>
      <c r="E909">
        <v>4081.5</v>
      </c>
      <c r="F909" s="289">
        <f t="shared" si="54"/>
        <v>-8.8297961100382016E-3</v>
      </c>
    </row>
    <row r="910" spans="2:6" hidden="1" outlineLevel="1" x14ac:dyDescent="0.25">
      <c r="B910" s="291">
        <v>44967</v>
      </c>
      <c r="C910">
        <v>73.550003000000004</v>
      </c>
      <c r="D910" s="289">
        <f t="shared" ref="D910:F925" si="55">C910/C909-1</f>
        <v>9.8860494333092852E-3</v>
      </c>
      <c r="E910">
        <v>4090.459961</v>
      </c>
      <c r="F910" s="289">
        <f t="shared" si="55"/>
        <v>2.1952617910081518E-3</v>
      </c>
    </row>
    <row r="911" spans="2:6" hidden="1" outlineLevel="1" x14ac:dyDescent="0.25">
      <c r="B911" s="291">
        <v>44970</v>
      </c>
      <c r="C911">
        <v>73.769997000000004</v>
      </c>
      <c r="D911" s="289">
        <f t="shared" si="55"/>
        <v>2.9910807753468216E-3</v>
      </c>
      <c r="E911">
        <v>4137.2900390000004</v>
      </c>
      <c r="F911" s="289">
        <f t="shared" si="55"/>
        <v>1.1448609312032509E-2</v>
      </c>
    </row>
    <row r="912" spans="2:6" hidden="1" outlineLevel="1" x14ac:dyDescent="0.25">
      <c r="B912" s="291">
        <v>44971</v>
      </c>
      <c r="C912">
        <v>73.180000000000007</v>
      </c>
      <c r="D912" s="289">
        <f t="shared" si="55"/>
        <v>-7.9977907549595439E-3</v>
      </c>
      <c r="E912">
        <v>4136.1298829999996</v>
      </c>
      <c r="F912" s="289">
        <f t="shared" si="55"/>
        <v>-2.8041447156579302E-4</v>
      </c>
    </row>
    <row r="913" spans="2:6" hidden="1" outlineLevel="1" x14ac:dyDescent="0.25">
      <c r="B913" s="291">
        <v>44972</v>
      </c>
      <c r="C913">
        <v>72.699996999999996</v>
      </c>
      <c r="D913" s="289">
        <f t="shared" si="55"/>
        <v>-6.5592101667123481E-3</v>
      </c>
      <c r="E913">
        <v>4147.6000979999999</v>
      </c>
      <c r="F913" s="289">
        <f t="shared" si="55"/>
        <v>2.7731757281472813E-3</v>
      </c>
    </row>
    <row r="914" spans="2:6" hidden="1" outlineLevel="1" x14ac:dyDescent="0.25">
      <c r="B914" s="291">
        <v>44973</v>
      </c>
      <c r="C914">
        <v>72.769997000000004</v>
      </c>
      <c r="D914" s="289">
        <f t="shared" si="55"/>
        <v>9.6286111263532703E-4</v>
      </c>
      <c r="E914">
        <v>4090.4099120000001</v>
      </c>
      <c r="F914" s="289">
        <f t="shared" si="55"/>
        <v>-1.3788741597237753E-2</v>
      </c>
    </row>
    <row r="915" spans="2:6" hidden="1" outlineLevel="1" x14ac:dyDescent="0.25">
      <c r="B915" s="291">
        <v>44974</v>
      </c>
      <c r="C915">
        <v>74.519997000000004</v>
      </c>
      <c r="D915" s="289">
        <f t="shared" si="55"/>
        <v>2.4048372573108656E-2</v>
      </c>
      <c r="E915">
        <v>4079.0900879999999</v>
      </c>
      <c r="F915" s="289">
        <f t="shared" si="55"/>
        <v>-2.7674057719230261E-3</v>
      </c>
    </row>
    <row r="916" spans="2:6" hidden="1" outlineLevel="1" x14ac:dyDescent="0.25">
      <c r="B916" s="291">
        <v>44978</v>
      </c>
      <c r="C916">
        <v>74.260002</v>
      </c>
      <c r="D916" s="289">
        <f t="shared" si="55"/>
        <v>-3.4889292869939581E-3</v>
      </c>
      <c r="E916">
        <v>3997.3400879999999</v>
      </c>
      <c r="F916" s="289">
        <f t="shared" si="55"/>
        <v>-2.0041234254789986E-2</v>
      </c>
    </row>
    <row r="917" spans="2:6" hidden="1" outlineLevel="1" x14ac:dyDescent="0.25">
      <c r="B917" s="291">
        <v>44979</v>
      </c>
      <c r="C917">
        <v>74.410004000000001</v>
      </c>
      <c r="D917" s="289">
        <f t="shared" si="55"/>
        <v>2.0199568537582202E-3</v>
      </c>
      <c r="E917">
        <v>3991.0500489999999</v>
      </c>
      <c r="F917" s="289">
        <f t="shared" si="55"/>
        <v>-1.5735561302083756E-3</v>
      </c>
    </row>
    <row r="918" spans="2:6" hidden="1" outlineLevel="1" x14ac:dyDescent="0.25">
      <c r="B918" s="291">
        <v>44980</v>
      </c>
      <c r="C918">
        <v>73.660004000000001</v>
      </c>
      <c r="D918" s="289">
        <f t="shared" si="55"/>
        <v>-1.0079289876130049E-2</v>
      </c>
      <c r="E918">
        <v>4012.320068</v>
      </c>
      <c r="F918" s="289">
        <f t="shared" si="55"/>
        <v>5.3294292827346101E-3</v>
      </c>
    </row>
    <row r="919" spans="2:6" hidden="1" outlineLevel="1" x14ac:dyDescent="0.25">
      <c r="B919" s="291">
        <v>44981</v>
      </c>
      <c r="C919">
        <v>73.129997000000003</v>
      </c>
      <c r="D919" s="289">
        <f t="shared" si="55"/>
        <v>-7.1953159274875667E-3</v>
      </c>
      <c r="E919">
        <v>3970.040039</v>
      </c>
      <c r="F919" s="289">
        <f t="shared" si="55"/>
        <v>-1.0537551412511115E-2</v>
      </c>
    </row>
    <row r="920" spans="2:6" hidden="1" outlineLevel="1" x14ac:dyDescent="0.25">
      <c r="B920" s="291">
        <v>44984</v>
      </c>
      <c r="C920">
        <v>73.599997999999999</v>
      </c>
      <c r="D920" s="289">
        <f t="shared" si="55"/>
        <v>6.4269249183750432E-3</v>
      </c>
      <c r="E920">
        <v>3982.23999</v>
      </c>
      <c r="F920" s="289">
        <f t="shared" si="55"/>
        <v>3.0730045239224513E-3</v>
      </c>
    </row>
    <row r="921" spans="2:6" hidden="1" outlineLevel="1" x14ac:dyDescent="0.25">
      <c r="B921" s="291">
        <v>44985</v>
      </c>
      <c r="C921">
        <v>73.300003000000004</v>
      </c>
      <c r="D921" s="289">
        <f t="shared" si="55"/>
        <v>-4.0760191325004413E-3</v>
      </c>
      <c r="E921">
        <v>3970.1499020000001</v>
      </c>
      <c r="F921" s="289">
        <f t="shared" si="55"/>
        <v>-3.0360018558298618E-3</v>
      </c>
    </row>
    <row r="922" spans="2:6" hidden="1" outlineLevel="1" x14ac:dyDescent="0.25">
      <c r="B922" s="291">
        <v>44986</v>
      </c>
      <c r="C922">
        <v>72.550003000000004</v>
      </c>
      <c r="D922" s="289">
        <f t="shared" si="55"/>
        <v>-1.023192318286803E-2</v>
      </c>
      <c r="E922">
        <v>3951.389893</v>
      </c>
      <c r="F922" s="289">
        <f t="shared" si="55"/>
        <v>-4.7252646532438547E-3</v>
      </c>
    </row>
    <row r="923" spans="2:6" hidden="1" outlineLevel="1" x14ac:dyDescent="0.25">
      <c r="B923" s="291">
        <v>44987</v>
      </c>
      <c r="C923">
        <v>73.769997000000004</v>
      </c>
      <c r="D923" s="289">
        <f t="shared" si="55"/>
        <v>1.6815905576185841E-2</v>
      </c>
      <c r="E923">
        <v>3981.3500979999999</v>
      </c>
      <c r="F923" s="289">
        <f t="shared" si="55"/>
        <v>7.5821940662132992E-3</v>
      </c>
    </row>
    <row r="924" spans="2:6" hidden="1" outlineLevel="1" x14ac:dyDescent="0.25">
      <c r="B924" s="291">
        <v>44988</v>
      </c>
      <c r="C924">
        <v>73.949996999999996</v>
      </c>
      <c r="D924" s="289">
        <f t="shared" si="55"/>
        <v>2.440016366002995E-3</v>
      </c>
      <c r="E924">
        <v>4045.639893</v>
      </c>
      <c r="F924" s="289">
        <f t="shared" si="55"/>
        <v>1.614773717897755E-2</v>
      </c>
    </row>
    <row r="925" spans="2:6" hidden="1" outlineLevel="1" x14ac:dyDescent="0.25">
      <c r="B925" s="291">
        <v>44991</v>
      </c>
      <c r="C925">
        <v>73.290001000000004</v>
      </c>
      <c r="D925" s="289">
        <f t="shared" si="55"/>
        <v>-8.9248955615237602E-3</v>
      </c>
      <c r="E925">
        <v>4048.419922</v>
      </c>
      <c r="F925" s="289">
        <f t="shared" si="55"/>
        <v>6.8716669637614025E-4</v>
      </c>
    </row>
    <row r="926" spans="2:6" hidden="1" outlineLevel="1" x14ac:dyDescent="0.25">
      <c r="B926" s="291">
        <v>44992</v>
      </c>
      <c r="C926">
        <v>71.5</v>
      </c>
      <c r="D926" s="289">
        <f t="shared" ref="D926:F941" si="56">C926/C925-1</f>
        <v>-2.4423536302039417E-2</v>
      </c>
      <c r="E926">
        <v>3986.3701169999999</v>
      </c>
      <c r="F926" s="289">
        <f t="shared" si="56"/>
        <v>-1.5326919192055088E-2</v>
      </c>
    </row>
    <row r="927" spans="2:6" hidden="1" outlineLevel="1" x14ac:dyDescent="0.25">
      <c r="B927" s="291">
        <v>44993</v>
      </c>
      <c r="C927">
        <v>71.959998999999996</v>
      </c>
      <c r="D927" s="289">
        <f t="shared" si="56"/>
        <v>6.4335524475525041E-3</v>
      </c>
      <c r="E927">
        <v>3992.01001</v>
      </c>
      <c r="F927" s="289">
        <f t="shared" si="56"/>
        <v>1.4147941195796765E-3</v>
      </c>
    </row>
    <row r="928" spans="2:6" hidden="1" outlineLevel="1" x14ac:dyDescent="0.25">
      <c r="B928" s="291">
        <v>44994</v>
      </c>
      <c r="C928">
        <v>71.339995999999999</v>
      </c>
      <c r="D928" s="289">
        <f t="shared" si="56"/>
        <v>-8.6159395305160924E-3</v>
      </c>
      <c r="E928">
        <v>3918.320068</v>
      </c>
      <c r="F928" s="289">
        <f t="shared" si="56"/>
        <v>-1.8459358021499561E-2</v>
      </c>
    </row>
    <row r="929" spans="2:6" hidden="1" outlineLevel="1" x14ac:dyDescent="0.25">
      <c r="B929" s="291">
        <v>44995</v>
      </c>
      <c r="C929">
        <v>71.309997999999993</v>
      </c>
      <c r="D929" s="289">
        <f t="shared" si="56"/>
        <v>-4.2049343540762063E-4</v>
      </c>
      <c r="E929">
        <v>3861.5900879999999</v>
      </c>
      <c r="F929" s="289">
        <f t="shared" si="56"/>
        <v>-1.4478138338748892E-2</v>
      </c>
    </row>
    <row r="930" spans="2:6" hidden="1" outlineLevel="1" x14ac:dyDescent="0.25">
      <c r="B930" s="291">
        <v>44998</v>
      </c>
      <c r="C930">
        <v>71.5</v>
      </c>
      <c r="D930" s="289">
        <f t="shared" si="56"/>
        <v>2.664451063369988E-3</v>
      </c>
      <c r="E930">
        <v>3855.76001</v>
      </c>
      <c r="F930" s="289">
        <f t="shared" si="56"/>
        <v>-1.5097609707765969E-3</v>
      </c>
    </row>
    <row r="931" spans="2:6" hidden="1" outlineLevel="1" x14ac:dyDescent="0.25">
      <c r="B931" s="291">
        <v>44999</v>
      </c>
      <c r="C931">
        <v>72.239998</v>
      </c>
      <c r="D931" s="289">
        <f t="shared" si="56"/>
        <v>1.034962237762227E-2</v>
      </c>
      <c r="E931">
        <v>3919.290039</v>
      </c>
      <c r="F931" s="289">
        <f t="shared" si="56"/>
        <v>1.6476655402626994E-2</v>
      </c>
    </row>
    <row r="932" spans="2:6" hidden="1" outlineLevel="1" x14ac:dyDescent="0.25">
      <c r="B932" s="291">
        <v>45000</v>
      </c>
      <c r="C932">
        <v>72.930000000000007</v>
      </c>
      <c r="D932" s="289">
        <f t="shared" si="56"/>
        <v>9.5515229665428247E-3</v>
      </c>
      <c r="E932">
        <v>3891.929932</v>
      </c>
      <c r="F932" s="289">
        <f t="shared" si="56"/>
        <v>-6.9808834579083712E-3</v>
      </c>
    </row>
    <row r="933" spans="2:6" hidden="1" outlineLevel="1" x14ac:dyDescent="0.25">
      <c r="B933" s="291">
        <v>45001</v>
      </c>
      <c r="C933">
        <v>72.949996999999996</v>
      </c>
      <c r="D933" s="289">
        <f t="shared" si="56"/>
        <v>2.7419443301779367E-4</v>
      </c>
      <c r="E933">
        <v>3960.280029</v>
      </c>
      <c r="F933" s="289">
        <f t="shared" si="56"/>
        <v>1.7562006046927037E-2</v>
      </c>
    </row>
    <row r="934" spans="2:6" hidden="1" outlineLevel="1" x14ac:dyDescent="0.25">
      <c r="B934" s="291">
        <v>45002</v>
      </c>
      <c r="C934">
        <v>72.199996999999996</v>
      </c>
      <c r="D934" s="289">
        <f t="shared" si="56"/>
        <v>-1.0281014816217238E-2</v>
      </c>
      <c r="E934">
        <v>3916.639893</v>
      </c>
      <c r="F934" s="289">
        <f t="shared" si="56"/>
        <v>-1.1019457129403887E-2</v>
      </c>
    </row>
    <row r="935" spans="2:6" hidden="1" outlineLevel="1" x14ac:dyDescent="0.25">
      <c r="B935" s="291">
        <v>45005</v>
      </c>
      <c r="C935">
        <v>73.080001999999993</v>
      </c>
      <c r="D935" s="289">
        <f t="shared" si="56"/>
        <v>1.218843540949166E-2</v>
      </c>
      <c r="E935">
        <v>3951.570068</v>
      </c>
      <c r="F935" s="289">
        <f t="shared" si="56"/>
        <v>8.9184035178799803E-3</v>
      </c>
    </row>
    <row r="936" spans="2:6" hidden="1" outlineLevel="1" x14ac:dyDescent="0.25">
      <c r="B936" s="291">
        <v>45006</v>
      </c>
      <c r="C936">
        <v>72.379997000000003</v>
      </c>
      <c r="D936" s="289">
        <f t="shared" si="56"/>
        <v>-9.578612217333915E-3</v>
      </c>
      <c r="E936">
        <v>4002.8701169999999</v>
      </c>
      <c r="F936" s="289">
        <f t="shared" si="56"/>
        <v>1.2982193942461029E-2</v>
      </c>
    </row>
    <row r="937" spans="2:6" hidden="1" outlineLevel="1" x14ac:dyDescent="0.25">
      <c r="B937" s="291">
        <v>45007</v>
      </c>
      <c r="C937">
        <v>72.129997000000003</v>
      </c>
      <c r="D937" s="289">
        <f t="shared" si="56"/>
        <v>-3.4539929588557339E-3</v>
      </c>
      <c r="E937">
        <v>3936.969971</v>
      </c>
      <c r="F937" s="289">
        <f t="shared" si="56"/>
        <v>-1.6463223655477921E-2</v>
      </c>
    </row>
    <row r="938" spans="2:6" hidden="1" outlineLevel="1" x14ac:dyDescent="0.25">
      <c r="B938" s="291">
        <v>45008</v>
      </c>
      <c r="C938">
        <v>71.830001999999993</v>
      </c>
      <c r="D938" s="289">
        <f t="shared" si="56"/>
        <v>-4.1590879311974582E-3</v>
      </c>
      <c r="E938">
        <v>3948.719971</v>
      </c>
      <c r="F938" s="289">
        <f t="shared" si="56"/>
        <v>2.9845287331504711E-3</v>
      </c>
    </row>
    <row r="939" spans="2:6" hidden="1" outlineLevel="1" x14ac:dyDescent="0.25">
      <c r="B939" s="291">
        <v>45009</v>
      </c>
      <c r="C939">
        <v>73.419998000000007</v>
      </c>
      <c r="D939" s="289">
        <f t="shared" si="56"/>
        <v>2.2135541636209455E-2</v>
      </c>
      <c r="E939">
        <v>3970.98999</v>
      </c>
      <c r="F939" s="289">
        <f t="shared" si="56"/>
        <v>5.6398071181431586E-3</v>
      </c>
    </row>
    <row r="940" spans="2:6" hidden="1" outlineLevel="1" x14ac:dyDescent="0.25">
      <c r="B940" s="291">
        <v>45012</v>
      </c>
      <c r="C940">
        <v>74.150002000000001</v>
      </c>
      <c r="D940" s="289">
        <f t="shared" si="56"/>
        <v>9.9428496306959158E-3</v>
      </c>
      <c r="E940">
        <v>3977.530029</v>
      </c>
      <c r="F940" s="289">
        <f t="shared" si="56"/>
        <v>1.6469542901063061E-3</v>
      </c>
    </row>
    <row r="941" spans="2:6" hidden="1" outlineLevel="1" x14ac:dyDescent="0.25">
      <c r="B941" s="291">
        <v>45013</v>
      </c>
      <c r="C941">
        <v>74.5</v>
      </c>
      <c r="D941" s="289">
        <f t="shared" si="56"/>
        <v>4.7201347344534295E-3</v>
      </c>
      <c r="E941">
        <v>3971.2700199999999</v>
      </c>
      <c r="F941" s="289">
        <f t="shared" si="56"/>
        <v>-1.5738433033462007E-3</v>
      </c>
    </row>
    <row r="942" spans="2:6" hidden="1" outlineLevel="1" x14ac:dyDescent="0.25">
      <c r="B942" s="291">
        <v>45014</v>
      </c>
      <c r="C942">
        <v>74.470000999999996</v>
      </c>
      <c r="D942" s="289">
        <f t="shared" ref="D942:F957" si="57">C942/C941-1</f>
        <v>-4.0267114093961442E-4</v>
      </c>
      <c r="E942">
        <v>4027.8100589999999</v>
      </c>
      <c r="F942" s="289">
        <f t="shared" si="57"/>
        <v>1.423726886241794E-2</v>
      </c>
    </row>
    <row r="943" spans="2:6" hidden="1" outlineLevel="1" x14ac:dyDescent="0.25">
      <c r="B943" s="291">
        <v>45015</v>
      </c>
      <c r="C943">
        <v>75.25</v>
      </c>
      <c r="D943" s="289">
        <f t="shared" si="57"/>
        <v>1.0474002813562588E-2</v>
      </c>
      <c r="E943">
        <v>4050.830078</v>
      </c>
      <c r="F943" s="289">
        <f t="shared" si="57"/>
        <v>5.7152692561961427E-3</v>
      </c>
    </row>
    <row r="944" spans="2:6" hidden="1" outlineLevel="1" x14ac:dyDescent="0.25">
      <c r="B944" s="291">
        <v>45016</v>
      </c>
      <c r="C944">
        <v>75.150002000000001</v>
      </c>
      <c r="D944" s="289">
        <f t="shared" si="57"/>
        <v>-1.3288770764119384E-3</v>
      </c>
      <c r="E944">
        <v>4109.3100590000004</v>
      </c>
      <c r="F944" s="289">
        <f t="shared" si="57"/>
        <v>1.4436542603355473E-2</v>
      </c>
    </row>
    <row r="945" spans="2:6" hidden="1" outlineLevel="1" x14ac:dyDescent="0.25">
      <c r="B945" s="291">
        <v>45019</v>
      </c>
      <c r="C945">
        <v>75.360000999999997</v>
      </c>
      <c r="D945" s="289">
        <f t="shared" si="57"/>
        <v>2.7943977965563249E-3</v>
      </c>
      <c r="E945">
        <v>4124.5097660000001</v>
      </c>
      <c r="F945" s="289">
        <f t="shared" si="57"/>
        <v>3.6988464685721034E-3</v>
      </c>
    </row>
    <row r="946" spans="2:6" hidden="1" outlineLevel="1" x14ac:dyDescent="0.25">
      <c r="B946" s="291">
        <v>45020</v>
      </c>
      <c r="C946">
        <v>74.730002999999996</v>
      </c>
      <c r="D946" s="289">
        <f t="shared" si="57"/>
        <v>-8.3598459612547193E-3</v>
      </c>
      <c r="E946">
        <v>4100.6000979999999</v>
      </c>
      <c r="F946" s="289">
        <f t="shared" si="57"/>
        <v>-5.7969720903796595E-3</v>
      </c>
    </row>
    <row r="947" spans="2:6" hidden="1" outlineLevel="1" x14ac:dyDescent="0.25">
      <c r="B947" s="291">
        <v>45021</v>
      </c>
      <c r="C947">
        <v>75.360000999999997</v>
      </c>
      <c r="D947" s="289">
        <f t="shared" si="57"/>
        <v>8.4303221558816865E-3</v>
      </c>
      <c r="E947">
        <v>4090.3798830000001</v>
      </c>
      <c r="F947" s="289">
        <f t="shared" si="57"/>
        <v>-2.4923705691234366E-3</v>
      </c>
    </row>
    <row r="948" spans="2:6" hidden="1" outlineLevel="1" x14ac:dyDescent="0.25">
      <c r="B948" s="291">
        <v>45022</v>
      </c>
      <c r="C948">
        <v>75.680000000000007</v>
      </c>
      <c r="D948" s="289">
        <f t="shared" si="57"/>
        <v>4.2462711750761439E-3</v>
      </c>
      <c r="E948">
        <v>4105.0200199999999</v>
      </c>
      <c r="F948" s="289">
        <f t="shared" si="57"/>
        <v>3.5791631630219811E-3</v>
      </c>
    </row>
    <row r="949" spans="2:6" hidden="1" outlineLevel="1" x14ac:dyDescent="0.25">
      <c r="B949" s="291">
        <v>45026</v>
      </c>
      <c r="C949">
        <v>75.139999000000003</v>
      </c>
      <c r="D949" s="289">
        <f t="shared" si="57"/>
        <v>-7.1353197674418611E-3</v>
      </c>
      <c r="E949">
        <v>4109.1098629999997</v>
      </c>
      <c r="F949" s="289">
        <f t="shared" si="57"/>
        <v>9.9630281462048664E-4</v>
      </c>
    </row>
    <row r="950" spans="2:6" hidden="1" outlineLevel="1" x14ac:dyDescent="0.25">
      <c r="B950" s="291">
        <v>45027</v>
      </c>
      <c r="C950">
        <v>76.019997000000004</v>
      </c>
      <c r="D950" s="289">
        <f t="shared" si="57"/>
        <v>1.171144545796432E-2</v>
      </c>
      <c r="E950">
        <v>4108.9399409999996</v>
      </c>
      <c r="F950" s="289">
        <f t="shared" si="57"/>
        <v>-4.1352508369341123E-5</v>
      </c>
    </row>
    <row r="951" spans="2:6" hidden="1" outlineLevel="1" x14ac:dyDescent="0.25">
      <c r="B951" s="291">
        <v>45028</v>
      </c>
      <c r="C951">
        <v>76.050003000000004</v>
      </c>
      <c r="D951" s="289">
        <f t="shared" si="57"/>
        <v>3.9471193349305267E-4</v>
      </c>
      <c r="E951">
        <v>4091.9499510000001</v>
      </c>
      <c r="F951" s="289">
        <f t="shared" si="57"/>
        <v>-4.1348839953754268E-3</v>
      </c>
    </row>
    <row r="952" spans="2:6" hidden="1" outlineLevel="1" x14ac:dyDescent="0.25">
      <c r="B952" s="291">
        <v>45029</v>
      </c>
      <c r="C952">
        <v>76.519997000000004</v>
      </c>
      <c r="D952" s="289">
        <f t="shared" si="57"/>
        <v>6.1800655024299989E-3</v>
      </c>
      <c r="E952">
        <v>4146.2202150000003</v>
      </c>
      <c r="F952" s="289">
        <f t="shared" si="57"/>
        <v>1.3262690074383077E-2</v>
      </c>
    </row>
    <row r="953" spans="2:6" hidden="1" outlineLevel="1" x14ac:dyDescent="0.25">
      <c r="B953" s="291">
        <v>45030</v>
      </c>
      <c r="C953">
        <v>75.589995999999999</v>
      </c>
      <c r="D953" s="289">
        <f t="shared" si="57"/>
        <v>-1.2153698855999706E-2</v>
      </c>
      <c r="E953">
        <v>4137.6401370000003</v>
      </c>
      <c r="F953" s="289">
        <f t="shared" si="57"/>
        <v>-2.0693734425777377E-3</v>
      </c>
    </row>
    <row r="954" spans="2:6" hidden="1" outlineLevel="1" x14ac:dyDescent="0.25">
      <c r="B954" s="291">
        <v>45033</v>
      </c>
      <c r="C954">
        <v>75.699996999999996</v>
      </c>
      <c r="D954" s="289">
        <f t="shared" si="57"/>
        <v>1.4552322505745341E-3</v>
      </c>
      <c r="E954">
        <v>4151.3198240000002</v>
      </c>
      <c r="F954" s="289">
        <f t="shared" si="57"/>
        <v>3.30615678189905E-3</v>
      </c>
    </row>
    <row r="955" spans="2:6" hidden="1" outlineLevel="1" x14ac:dyDescent="0.25">
      <c r="B955" s="291">
        <v>45034</v>
      </c>
      <c r="C955">
        <v>75.540001000000004</v>
      </c>
      <c r="D955" s="289">
        <f t="shared" si="57"/>
        <v>-2.1135535844207798E-3</v>
      </c>
      <c r="E955">
        <v>4154.8701170000004</v>
      </c>
      <c r="F955" s="289">
        <f t="shared" si="57"/>
        <v>8.5522030354656664E-4</v>
      </c>
    </row>
    <row r="956" spans="2:6" hidden="1" outlineLevel="1" x14ac:dyDescent="0.25">
      <c r="B956" s="291">
        <v>45035</v>
      </c>
      <c r="C956">
        <v>75.589995999999999</v>
      </c>
      <c r="D956" s="289">
        <f t="shared" si="57"/>
        <v>6.6183478075410029E-4</v>
      </c>
      <c r="E956">
        <v>4154.5200199999999</v>
      </c>
      <c r="F956" s="289">
        <f t="shared" si="57"/>
        <v>-8.4261839754740109E-5</v>
      </c>
    </row>
    <row r="957" spans="2:6" hidden="1" outlineLevel="1" x14ac:dyDescent="0.25">
      <c r="B957" s="291">
        <v>45036</v>
      </c>
      <c r="C957">
        <v>76.360000999999997</v>
      </c>
      <c r="D957" s="289">
        <f t="shared" si="57"/>
        <v>1.0186599295494148E-2</v>
      </c>
      <c r="E957">
        <v>4129.7900390000004</v>
      </c>
      <c r="F957" s="289">
        <f t="shared" si="57"/>
        <v>-5.9525482801739971E-3</v>
      </c>
    </row>
    <row r="958" spans="2:6" hidden="1" outlineLevel="1" x14ac:dyDescent="0.25">
      <c r="B958" s="291">
        <v>45037</v>
      </c>
      <c r="C958">
        <v>76.800003000000004</v>
      </c>
      <c r="D958" s="289">
        <f t="shared" ref="D958:F973" si="58">C958/C957-1</f>
        <v>5.7622052676506996E-3</v>
      </c>
      <c r="E958">
        <v>4133.5200199999999</v>
      </c>
      <c r="F958" s="289">
        <f t="shared" si="58"/>
        <v>9.0318901560970666E-4</v>
      </c>
    </row>
    <row r="959" spans="2:6" hidden="1" outlineLevel="1" x14ac:dyDescent="0.25">
      <c r="B959" s="291">
        <v>45040</v>
      </c>
      <c r="C959">
        <v>77.879997000000003</v>
      </c>
      <c r="D959" s="289">
        <f t="shared" si="58"/>
        <v>1.406242132568658E-2</v>
      </c>
      <c r="E959">
        <v>4137.0400390000004</v>
      </c>
      <c r="F959" s="289">
        <f t="shared" si="58"/>
        <v>8.5157903747146158E-4</v>
      </c>
    </row>
    <row r="960" spans="2:6" hidden="1" outlineLevel="1" x14ac:dyDescent="0.25">
      <c r="B960" s="291">
        <v>45041</v>
      </c>
      <c r="C960">
        <v>77.699996999999996</v>
      </c>
      <c r="D960" s="289">
        <f t="shared" si="58"/>
        <v>-2.3112481629911086E-3</v>
      </c>
      <c r="E960">
        <v>4071.6298830000001</v>
      </c>
      <c r="F960" s="289">
        <f t="shared" si="58"/>
        <v>-1.5810858822582485E-2</v>
      </c>
    </row>
    <row r="961" spans="2:6" hidden="1" outlineLevel="1" x14ac:dyDescent="0.25">
      <c r="B961" s="291">
        <v>45042</v>
      </c>
      <c r="C961">
        <v>76.680000000000007</v>
      </c>
      <c r="D961" s="289">
        <f t="shared" si="58"/>
        <v>-1.3127375024222787E-2</v>
      </c>
      <c r="E961">
        <v>4055.98999</v>
      </c>
      <c r="F961" s="289">
        <f t="shared" si="58"/>
        <v>-3.8411873007662134E-3</v>
      </c>
    </row>
    <row r="962" spans="2:6" hidden="1" outlineLevel="1" x14ac:dyDescent="0.25">
      <c r="B962" s="291">
        <v>45043</v>
      </c>
      <c r="C962">
        <v>77.930000000000007</v>
      </c>
      <c r="D962" s="289">
        <f t="shared" si="58"/>
        <v>1.6301512780386052E-2</v>
      </c>
      <c r="E962">
        <v>4135.3500979999999</v>
      </c>
      <c r="F962" s="289">
        <f t="shared" si="58"/>
        <v>1.9566149866163673E-2</v>
      </c>
    </row>
    <row r="963" spans="2:6" hidden="1" outlineLevel="1" x14ac:dyDescent="0.25">
      <c r="B963" s="291">
        <v>45044</v>
      </c>
      <c r="C963">
        <v>79.800003000000004</v>
      </c>
      <c r="D963" s="289">
        <f t="shared" si="58"/>
        <v>2.3995932246888119E-2</v>
      </c>
      <c r="E963">
        <v>4169.4799800000001</v>
      </c>
      <c r="F963" s="289">
        <f t="shared" si="58"/>
        <v>8.2532025562978006E-3</v>
      </c>
    </row>
    <row r="964" spans="2:6" hidden="1" outlineLevel="1" x14ac:dyDescent="0.25">
      <c r="B964" s="291">
        <v>45047</v>
      </c>
      <c r="C964">
        <v>80.690002000000007</v>
      </c>
      <c r="D964" s="289">
        <f t="shared" si="58"/>
        <v>1.1152869254904774E-2</v>
      </c>
      <c r="E964">
        <v>4167.8701170000004</v>
      </c>
      <c r="F964" s="289">
        <f t="shared" si="58"/>
        <v>-3.861064227965727E-4</v>
      </c>
    </row>
    <row r="965" spans="2:6" hidden="1" outlineLevel="1" x14ac:dyDescent="0.25">
      <c r="B965" s="291">
        <v>45048</v>
      </c>
      <c r="C965">
        <v>80.849997999999999</v>
      </c>
      <c r="D965" s="289">
        <f t="shared" si="58"/>
        <v>1.9828478873997746E-3</v>
      </c>
      <c r="E965">
        <v>4119.580078</v>
      </c>
      <c r="F965" s="289">
        <f t="shared" si="58"/>
        <v>-1.1586262921925994E-2</v>
      </c>
    </row>
    <row r="966" spans="2:6" hidden="1" outlineLevel="1" x14ac:dyDescent="0.25">
      <c r="B966" s="291">
        <v>45049</v>
      </c>
      <c r="C966">
        <v>81.260002</v>
      </c>
      <c r="D966" s="289">
        <f t="shared" si="58"/>
        <v>5.0711689566151907E-3</v>
      </c>
      <c r="E966">
        <v>4090.75</v>
      </c>
      <c r="F966" s="289">
        <f t="shared" si="58"/>
        <v>-6.9983050345259201E-3</v>
      </c>
    </row>
    <row r="967" spans="2:6" hidden="1" outlineLevel="1" x14ac:dyDescent="0.25">
      <c r="B967" s="291">
        <v>45050</v>
      </c>
      <c r="C967">
        <v>80.790001000000004</v>
      </c>
      <c r="D967" s="289">
        <f t="shared" si="58"/>
        <v>-5.7839156833886518E-3</v>
      </c>
      <c r="E967">
        <v>4061.219971</v>
      </c>
      <c r="F967" s="289">
        <f t="shared" si="58"/>
        <v>-7.2187322618101346E-3</v>
      </c>
    </row>
    <row r="968" spans="2:6" hidden="1" outlineLevel="1" x14ac:dyDescent="0.25">
      <c r="B968" s="291">
        <v>45051</v>
      </c>
      <c r="C968">
        <v>80.589995999999999</v>
      </c>
      <c r="D968" s="289">
        <f t="shared" si="58"/>
        <v>-2.4756157633913922E-3</v>
      </c>
      <c r="E968">
        <v>4136.25</v>
      </c>
      <c r="F968" s="289">
        <f t="shared" si="58"/>
        <v>1.847475131506493E-2</v>
      </c>
    </row>
    <row r="969" spans="2:6" hidden="1" outlineLevel="1" x14ac:dyDescent="0.25">
      <c r="B969" s="291">
        <v>45054</v>
      </c>
      <c r="C969">
        <v>80.75</v>
      </c>
      <c r="D969" s="289">
        <f t="shared" si="58"/>
        <v>1.9854077173548923E-3</v>
      </c>
      <c r="E969">
        <v>4138.1201170000004</v>
      </c>
      <c r="F969" s="289">
        <f t="shared" si="58"/>
        <v>4.5212861891830158E-4</v>
      </c>
    </row>
    <row r="970" spans="2:6" hidden="1" outlineLevel="1" x14ac:dyDescent="0.25">
      <c r="B970" s="291">
        <v>45055</v>
      </c>
      <c r="C970">
        <v>80.639999000000003</v>
      </c>
      <c r="D970" s="289">
        <f t="shared" si="58"/>
        <v>-1.3622414860681165E-3</v>
      </c>
      <c r="E970">
        <v>4119.169922</v>
      </c>
      <c r="F970" s="289">
        <f t="shared" si="58"/>
        <v>-4.5794212019487635E-3</v>
      </c>
    </row>
    <row r="971" spans="2:6" hidden="1" outlineLevel="1" x14ac:dyDescent="0.25">
      <c r="B971" s="291">
        <v>45056</v>
      </c>
      <c r="C971">
        <v>81.099997999999999</v>
      </c>
      <c r="D971" s="289">
        <f t="shared" si="58"/>
        <v>5.7043527493099155E-3</v>
      </c>
      <c r="E971">
        <v>4137.6401370000003</v>
      </c>
      <c r="F971" s="289">
        <f t="shared" si="58"/>
        <v>4.4839653012014313E-3</v>
      </c>
    </row>
    <row r="972" spans="2:6" hidden="1" outlineLevel="1" x14ac:dyDescent="0.25">
      <c r="B972" s="291">
        <v>45057</v>
      </c>
      <c r="C972">
        <v>81.629997000000003</v>
      </c>
      <c r="D972" s="289">
        <f t="shared" si="58"/>
        <v>6.5351296309525964E-3</v>
      </c>
      <c r="E972">
        <v>4130.6201170000004</v>
      </c>
      <c r="F972" s="289">
        <f t="shared" si="58"/>
        <v>-1.6966241063897103E-3</v>
      </c>
    </row>
    <row r="973" spans="2:6" hidden="1" outlineLevel="1" x14ac:dyDescent="0.25">
      <c r="B973" s="291">
        <v>45058</v>
      </c>
      <c r="C973">
        <v>81.980002999999996</v>
      </c>
      <c r="D973" s="289">
        <f t="shared" si="58"/>
        <v>4.2877130082461523E-3</v>
      </c>
      <c r="E973">
        <v>4124.080078</v>
      </c>
      <c r="F973" s="289">
        <f t="shared" si="58"/>
        <v>-1.5833068194976985E-3</v>
      </c>
    </row>
    <row r="974" spans="2:6" hidden="1" outlineLevel="1" x14ac:dyDescent="0.25">
      <c r="B974" s="291">
        <v>45061</v>
      </c>
      <c r="C974">
        <v>81.080001999999993</v>
      </c>
      <c r="D974" s="289">
        <f t="shared" ref="D974:F989" si="59">C974/C973-1</f>
        <v>-1.0978299183521667E-2</v>
      </c>
      <c r="E974">
        <v>4136.2797849999997</v>
      </c>
      <c r="F974" s="289">
        <f t="shared" si="59"/>
        <v>2.9581644316460931E-3</v>
      </c>
    </row>
    <row r="975" spans="2:6" hidden="1" outlineLevel="1" x14ac:dyDescent="0.25">
      <c r="B975" s="291">
        <v>45062</v>
      </c>
      <c r="C975">
        <v>80.769997000000004</v>
      </c>
      <c r="D975" s="289">
        <f t="shared" si="59"/>
        <v>-3.8234458849666364E-3</v>
      </c>
      <c r="E975">
        <v>4109.8999020000001</v>
      </c>
      <c r="F975" s="289">
        <f t="shared" si="59"/>
        <v>-6.3776834187244669E-3</v>
      </c>
    </row>
    <row r="976" spans="2:6" hidden="1" outlineLevel="1" x14ac:dyDescent="0.25">
      <c r="B976" s="291">
        <v>45063</v>
      </c>
      <c r="C976">
        <v>80.510002</v>
      </c>
      <c r="D976" s="289">
        <f t="shared" si="59"/>
        <v>-3.2189551771309999E-3</v>
      </c>
      <c r="E976">
        <v>4158.7700199999999</v>
      </c>
      <c r="F976" s="289">
        <f t="shared" si="59"/>
        <v>1.1890829257476199E-2</v>
      </c>
    </row>
    <row r="977" spans="2:6" hidden="1" outlineLevel="1" x14ac:dyDescent="0.25">
      <c r="B977" s="291">
        <v>45064</v>
      </c>
      <c r="C977">
        <v>79.690002000000007</v>
      </c>
      <c r="D977" s="289">
        <f t="shared" si="59"/>
        <v>-1.0185069924603773E-2</v>
      </c>
      <c r="E977">
        <v>4198.0498049999997</v>
      </c>
      <c r="F977" s="289">
        <f t="shared" si="59"/>
        <v>9.4450486107908738E-3</v>
      </c>
    </row>
    <row r="978" spans="2:6" hidden="1" outlineLevel="1" x14ac:dyDescent="0.25">
      <c r="B978" s="291">
        <v>45065</v>
      </c>
      <c r="C978">
        <v>79.930000000000007</v>
      </c>
      <c r="D978" s="289">
        <f t="shared" si="59"/>
        <v>3.0116450492747582E-3</v>
      </c>
      <c r="E978">
        <v>4191.9799800000001</v>
      </c>
      <c r="F978" s="289">
        <f t="shared" si="59"/>
        <v>-1.445867791461275E-3</v>
      </c>
    </row>
    <row r="979" spans="2:6" hidden="1" outlineLevel="1" x14ac:dyDescent="0.25">
      <c r="B979" s="291">
        <v>45068</v>
      </c>
      <c r="C979">
        <v>78.410004000000001</v>
      </c>
      <c r="D979" s="289">
        <f t="shared" si="59"/>
        <v>-1.901658951582641E-2</v>
      </c>
      <c r="E979">
        <v>4192.6298829999996</v>
      </c>
      <c r="F979" s="289">
        <f t="shared" si="59"/>
        <v>1.5503485300505382E-4</v>
      </c>
    </row>
    <row r="980" spans="2:6" hidden="1" outlineLevel="1" x14ac:dyDescent="0.25">
      <c r="B980" s="291">
        <v>45069</v>
      </c>
      <c r="C980">
        <v>77.040001000000004</v>
      </c>
      <c r="D980" s="289">
        <f t="shared" si="59"/>
        <v>-1.7472298560270438E-2</v>
      </c>
      <c r="E980">
        <v>4145.580078</v>
      </c>
      <c r="F980" s="289">
        <f t="shared" si="59"/>
        <v>-1.1222026821583797E-2</v>
      </c>
    </row>
    <row r="981" spans="2:6" hidden="1" outlineLevel="1" x14ac:dyDescent="0.25">
      <c r="B981" s="291">
        <v>45070</v>
      </c>
      <c r="C981">
        <v>76.480002999999996</v>
      </c>
      <c r="D981" s="289">
        <f t="shared" si="59"/>
        <v>-7.2689251392923371E-3</v>
      </c>
      <c r="E981">
        <v>4115.2402339999999</v>
      </c>
      <c r="F981" s="289">
        <f t="shared" si="59"/>
        <v>-7.3186003958792822E-3</v>
      </c>
    </row>
    <row r="982" spans="2:6" hidden="1" outlineLevel="1" x14ac:dyDescent="0.25">
      <c r="B982" s="291">
        <v>45071</v>
      </c>
      <c r="C982">
        <v>76.25</v>
      </c>
      <c r="D982" s="289">
        <f t="shared" si="59"/>
        <v>-3.007361283707044E-3</v>
      </c>
      <c r="E982">
        <v>4151.2797849999997</v>
      </c>
      <c r="F982" s="289">
        <f t="shared" si="59"/>
        <v>8.7575813198563779E-3</v>
      </c>
    </row>
    <row r="983" spans="2:6" hidden="1" outlineLevel="1" x14ac:dyDescent="0.25">
      <c r="B983" s="291">
        <v>45072</v>
      </c>
      <c r="C983">
        <v>76.209998999999996</v>
      </c>
      <c r="D983" s="289">
        <f t="shared" si="59"/>
        <v>-5.2460327868852907E-4</v>
      </c>
      <c r="E983">
        <v>4205.4501950000003</v>
      </c>
      <c r="F983" s="289">
        <f t="shared" si="59"/>
        <v>1.3049086740849702E-2</v>
      </c>
    </row>
    <row r="984" spans="2:6" hidden="1" outlineLevel="1" x14ac:dyDescent="0.25">
      <c r="B984" s="291">
        <v>45076</v>
      </c>
      <c r="C984">
        <v>74.949996999999996</v>
      </c>
      <c r="D984" s="289">
        <f t="shared" si="59"/>
        <v>-1.6533289811485274E-2</v>
      </c>
      <c r="E984">
        <v>4205.5200199999999</v>
      </c>
      <c r="F984" s="289">
        <f t="shared" si="59"/>
        <v>1.6603454270569529E-5</v>
      </c>
    </row>
    <row r="985" spans="2:6" hidden="1" outlineLevel="1" x14ac:dyDescent="0.25">
      <c r="B985" s="291">
        <v>45077</v>
      </c>
      <c r="C985">
        <v>74.379997000000003</v>
      </c>
      <c r="D985" s="289">
        <f t="shared" si="59"/>
        <v>-7.6050703511034712E-3</v>
      </c>
      <c r="E985">
        <v>4179.830078</v>
      </c>
      <c r="F985" s="289">
        <f t="shared" si="59"/>
        <v>-6.1086243503365445E-3</v>
      </c>
    </row>
    <row r="986" spans="2:6" hidden="1" outlineLevel="1" x14ac:dyDescent="0.25">
      <c r="B986" s="291">
        <v>45078</v>
      </c>
      <c r="C986">
        <v>74.900002000000001</v>
      </c>
      <c r="D986" s="289">
        <f t="shared" si="59"/>
        <v>6.9911941512985631E-3</v>
      </c>
      <c r="E986">
        <v>4221.0200199999999</v>
      </c>
      <c r="F986" s="289">
        <f t="shared" si="59"/>
        <v>9.8544537053786296E-3</v>
      </c>
    </row>
    <row r="987" spans="2:6" hidden="1" outlineLevel="1" x14ac:dyDescent="0.25">
      <c r="B987" s="291">
        <v>45079</v>
      </c>
      <c r="C987">
        <v>76.050003000000004</v>
      </c>
      <c r="D987" s="289">
        <f t="shared" si="59"/>
        <v>1.5353818014584242E-2</v>
      </c>
      <c r="E987">
        <v>4282.3701170000004</v>
      </c>
      <c r="F987" s="289">
        <f t="shared" si="59"/>
        <v>1.4534424548879654E-2</v>
      </c>
    </row>
    <row r="988" spans="2:6" hidden="1" outlineLevel="1" x14ac:dyDescent="0.25">
      <c r="B988" s="291">
        <v>45082</v>
      </c>
      <c r="C988">
        <v>76.25</v>
      </c>
      <c r="D988" s="289">
        <f t="shared" si="59"/>
        <v>2.6298092322232236E-3</v>
      </c>
      <c r="E988">
        <v>4273.7900390000004</v>
      </c>
      <c r="F988" s="289">
        <f t="shared" si="59"/>
        <v>-2.0035816068160184E-3</v>
      </c>
    </row>
    <row r="989" spans="2:6" hidden="1" outlineLevel="1" x14ac:dyDescent="0.25">
      <c r="B989" s="291">
        <v>45083</v>
      </c>
      <c r="C989">
        <v>75.569999999999993</v>
      </c>
      <c r="D989" s="289">
        <f t="shared" si="59"/>
        <v>-8.9180327868852993E-3</v>
      </c>
      <c r="E989">
        <v>4283.8500979999999</v>
      </c>
      <c r="F989" s="289">
        <f t="shared" si="59"/>
        <v>2.3538964030047627E-3</v>
      </c>
    </row>
    <row r="990" spans="2:6" hidden="1" outlineLevel="1" x14ac:dyDescent="0.25">
      <c r="B990" s="291">
        <v>45084</v>
      </c>
      <c r="C990">
        <v>75.199996999999996</v>
      </c>
      <c r="D990" s="289">
        <f t="shared" ref="D990:F1005" si="60">C990/C989-1</f>
        <v>-4.8961624983459018E-3</v>
      </c>
      <c r="E990">
        <v>4267.5200199999999</v>
      </c>
      <c r="F990" s="289">
        <f t="shared" si="60"/>
        <v>-3.8120096703719852E-3</v>
      </c>
    </row>
    <row r="991" spans="2:6" hidden="1" outlineLevel="1" x14ac:dyDescent="0.25">
      <c r="B991" s="291">
        <v>45085</v>
      </c>
      <c r="C991">
        <v>75.730002999999996</v>
      </c>
      <c r="D991" s="289">
        <f t="shared" si="60"/>
        <v>7.0479524088278289E-3</v>
      </c>
      <c r="E991">
        <v>4293.9301759999998</v>
      </c>
      <c r="F991" s="289">
        <f t="shared" si="60"/>
        <v>6.1886425549797508E-3</v>
      </c>
    </row>
    <row r="992" spans="2:6" hidden="1" outlineLevel="1" x14ac:dyDescent="0.25">
      <c r="B992" s="291">
        <v>45086</v>
      </c>
      <c r="C992">
        <v>75.839995999999999</v>
      </c>
      <c r="D992" s="289">
        <f t="shared" si="60"/>
        <v>1.452436229270937E-3</v>
      </c>
      <c r="E992">
        <v>4298.8598629999997</v>
      </c>
      <c r="F992" s="289">
        <f t="shared" si="60"/>
        <v>1.1480594229391627E-3</v>
      </c>
    </row>
    <row r="993" spans="2:6" hidden="1" outlineLevel="1" x14ac:dyDescent="0.25">
      <c r="B993" s="291">
        <v>45089</v>
      </c>
      <c r="C993">
        <v>75.720000999999996</v>
      </c>
      <c r="D993" s="289">
        <f t="shared" si="60"/>
        <v>-1.5822126361927369E-3</v>
      </c>
      <c r="E993">
        <v>4338.9301759999998</v>
      </c>
      <c r="F993" s="289">
        <f t="shared" si="60"/>
        <v>9.3211489271569636E-3</v>
      </c>
    </row>
    <row r="994" spans="2:6" hidden="1" outlineLevel="1" x14ac:dyDescent="0.25">
      <c r="B994" s="291">
        <v>45090</v>
      </c>
      <c r="C994">
        <v>75.239998</v>
      </c>
      <c r="D994" s="289">
        <f t="shared" si="60"/>
        <v>-6.339183751463473E-3</v>
      </c>
      <c r="E994">
        <v>4369.0097660000001</v>
      </c>
      <c r="F994" s="289">
        <f t="shared" si="60"/>
        <v>6.9324899871354706E-3</v>
      </c>
    </row>
    <row r="995" spans="2:6" hidden="1" outlineLevel="1" x14ac:dyDescent="0.25">
      <c r="B995" s="291">
        <v>45091</v>
      </c>
      <c r="C995">
        <v>75.419998000000007</v>
      </c>
      <c r="D995" s="289">
        <f t="shared" si="60"/>
        <v>2.3923445612001881E-3</v>
      </c>
      <c r="E995">
        <v>4372.5898440000001</v>
      </c>
      <c r="F995" s="289">
        <f t="shared" si="60"/>
        <v>8.1942549725111391E-4</v>
      </c>
    </row>
    <row r="996" spans="2:6" hidden="1" outlineLevel="1" x14ac:dyDescent="0.25">
      <c r="B996" s="291">
        <v>45092</v>
      </c>
      <c r="C996">
        <v>76.800003000000004</v>
      </c>
      <c r="D996" s="289">
        <f t="shared" si="60"/>
        <v>1.8297600591291374E-2</v>
      </c>
      <c r="E996">
        <v>4425.8398440000001</v>
      </c>
      <c r="F996" s="289">
        <f t="shared" si="60"/>
        <v>1.217813741965057E-2</v>
      </c>
    </row>
    <row r="997" spans="2:6" hidden="1" outlineLevel="1" x14ac:dyDescent="0.25">
      <c r="B997" s="291">
        <v>45093</v>
      </c>
      <c r="C997">
        <v>77.779999000000004</v>
      </c>
      <c r="D997" s="289">
        <f t="shared" si="60"/>
        <v>1.2760364084881681E-2</v>
      </c>
      <c r="E997">
        <v>4409.5898440000001</v>
      </c>
      <c r="F997" s="289">
        <f t="shared" si="60"/>
        <v>-3.6716195282189279E-3</v>
      </c>
    </row>
    <row r="998" spans="2:6" hidden="1" outlineLevel="1" x14ac:dyDescent="0.25">
      <c r="B998" s="291">
        <v>45097</v>
      </c>
      <c r="C998">
        <v>77.620002999999997</v>
      </c>
      <c r="D998" s="289">
        <f t="shared" si="60"/>
        <v>-2.0570326826566676E-3</v>
      </c>
      <c r="E998">
        <v>4388.7099609999996</v>
      </c>
      <c r="F998" s="289">
        <f t="shared" si="60"/>
        <v>-4.7351077398753993E-3</v>
      </c>
    </row>
    <row r="999" spans="2:6" hidden="1" outlineLevel="1" x14ac:dyDescent="0.25">
      <c r="B999" s="291">
        <v>45098</v>
      </c>
      <c r="C999">
        <v>77.620002999999997</v>
      </c>
      <c r="D999" s="289">
        <f t="shared" si="60"/>
        <v>0</v>
      </c>
      <c r="E999">
        <v>4365.6899409999996</v>
      </c>
      <c r="F999" s="289">
        <f t="shared" si="60"/>
        <v>-5.2452816897370358E-3</v>
      </c>
    </row>
    <row r="1000" spans="2:6" hidden="1" outlineLevel="1" x14ac:dyDescent="0.25">
      <c r="B1000" s="291">
        <v>45099</v>
      </c>
      <c r="C1000">
        <v>78</v>
      </c>
      <c r="D1000" s="289">
        <f t="shared" si="60"/>
        <v>4.8956066131562448E-3</v>
      </c>
      <c r="E1000">
        <v>4381.8901370000003</v>
      </c>
      <c r="F1000" s="289">
        <f t="shared" si="60"/>
        <v>3.7107985722617531E-3</v>
      </c>
    </row>
    <row r="1001" spans="2:6" hidden="1" outlineLevel="1" x14ac:dyDescent="0.25">
      <c r="B1001" s="291">
        <v>45100</v>
      </c>
      <c r="C1001">
        <v>77.110000999999997</v>
      </c>
      <c r="D1001" s="289">
        <f t="shared" si="60"/>
        <v>-1.1410243589743629E-2</v>
      </c>
      <c r="E1001">
        <v>4348.330078</v>
      </c>
      <c r="F1001" s="289">
        <f t="shared" si="60"/>
        <v>-7.6588088589041314E-3</v>
      </c>
    </row>
    <row r="1002" spans="2:6" hidden="1" outlineLevel="1" x14ac:dyDescent="0.25">
      <c r="B1002" s="291">
        <v>45103</v>
      </c>
      <c r="C1002">
        <v>76.639999000000003</v>
      </c>
      <c r="D1002" s="289">
        <f t="shared" si="60"/>
        <v>-6.0952145494070908E-3</v>
      </c>
      <c r="E1002">
        <v>4328.8198240000002</v>
      </c>
      <c r="F1002" s="289">
        <f t="shared" si="60"/>
        <v>-4.4868383149453406E-3</v>
      </c>
    </row>
    <row r="1003" spans="2:6" hidden="1" outlineLevel="1" x14ac:dyDescent="0.25">
      <c r="B1003" s="291">
        <v>45104</v>
      </c>
      <c r="C1003">
        <v>75.730002999999996</v>
      </c>
      <c r="D1003" s="289">
        <f t="shared" si="60"/>
        <v>-1.1873643161190661E-2</v>
      </c>
      <c r="E1003">
        <v>4378.4101559999999</v>
      </c>
      <c r="F1003" s="289">
        <f t="shared" si="60"/>
        <v>1.145585494805279E-2</v>
      </c>
    </row>
    <row r="1004" spans="2:6" hidden="1" outlineLevel="1" x14ac:dyDescent="0.25">
      <c r="B1004" s="291">
        <v>45105</v>
      </c>
      <c r="C1004">
        <v>75.910004000000001</v>
      </c>
      <c r="D1004" s="289">
        <f t="shared" si="60"/>
        <v>2.3768782895730034E-3</v>
      </c>
      <c r="E1004">
        <v>4376.8598629999997</v>
      </c>
      <c r="F1004" s="289">
        <f t="shared" si="60"/>
        <v>-3.5407669559595067E-4</v>
      </c>
    </row>
    <row r="1005" spans="2:6" hidden="1" outlineLevel="1" x14ac:dyDescent="0.25">
      <c r="B1005" s="291">
        <v>45106</v>
      </c>
      <c r="C1005">
        <v>76.559997999999993</v>
      </c>
      <c r="D1005" s="289">
        <f t="shared" si="60"/>
        <v>8.5626922111607939E-3</v>
      </c>
      <c r="E1005">
        <v>4396.4399409999996</v>
      </c>
      <c r="F1005" s="289">
        <f t="shared" si="60"/>
        <v>4.4735446445340887E-3</v>
      </c>
    </row>
    <row r="1006" spans="2:6" hidden="1" outlineLevel="1" x14ac:dyDescent="0.25">
      <c r="B1006" s="291">
        <v>45107</v>
      </c>
      <c r="C1006">
        <v>77.040001000000004</v>
      </c>
      <c r="D1006" s="289">
        <f t="shared" ref="D1006:F1021" si="61">C1006/C1005-1</f>
        <v>6.2696318252255523E-3</v>
      </c>
      <c r="E1006">
        <v>4450.3798829999996</v>
      </c>
      <c r="F1006" s="289">
        <f t="shared" si="61"/>
        <v>1.2269004631900282E-2</v>
      </c>
    </row>
    <row r="1007" spans="2:6" hidden="1" outlineLevel="1" x14ac:dyDescent="0.25">
      <c r="B1007" s="291">
        <v>45110</v>
      </c>
      <c r="C1007">
        <v>77.139999000000003</v>
      </c>
      <c r="D1007" s="289">
        <f t="shared" si="61"/>
        <v>1.2980010215732918E-3</v>
      </c>
      <c r="E1007">
        <v>4455.5898440000001</v>
      </c>
      <c r="F1007" s="289">
        <f t="shared" si="61"/>
        <v>1.1706778155955444E-3</v>
      </c>
    </row>
    <row r="1008" spans="2:6" hidden="1" outlineLevel="1" x14ac:dyDescent="0.25">
      <c r="B1008" s="291">
        <v>45112</v>
      </c>
      <c r="C1008">
        <v>76.870002999999997</v>
      </c>
      <c r="D1008" s="289">
        <f t="shared" si="61"/>
        <v>-3.5000778260316778E-3</v>
      </c>
      <c r="E1008">
        <v>4446.8198240000002</v>
      </c>
      <c r="F1008" s="289">
        <f t="shared" si="61"/>
        <v>-1.9683185183236862E-3</v>
      </c>
    </row>
    <row r="1009" spans="2:6" hidden="1" outlineLevel="1" x14ac:dyDescent="0.25">
      <c r="B1009" s="291">
        <v>45113</v>
      </c>
      <c r="C1009">
        <v>76.910004000000001</v>
      </c>
      <c r="D1009" s="289">
        <f t="shared" si="61"/>
        <v>5.2037203641064345E-4</v>
      </c>
      <c r="E1009">
        <v>4411.5898440000001</v>
      </c>
      <c r="F1009" s="289">
        <f t="shared" si="61"/>
        <v>-7.9225112314782464E-3</v>
      </c>
    </row>
    <row r="1010" spans="2:6" hidden="1" outlineLevel="1" x14ac:dyDescent="0.25">
      <c r="B1010" s="291">
        <v>45114</v>
      </c>
      <c r="C1010">
        <v>75.589995999999999</v>
      </c>
      <c r="D1010" s="289">
        <f t="shared" si="61"/>
        <v>-1.7163020821062469E-2</v>
      </c>
      <c r="E1010">
        <v>4398.9501950000003</v>
      </c>
      <c r="F1010" s="289">
        <f t="shared" si="61"/>
        <v>-2.8651006659629052E-3</v>
      </c>
    </row>
    <row r="1011" spans="2:6" hidden="1" outlineLevel="1" x14ac:dyDescent="0.25">
      <c r="B1011" s="291">
        <v>45117</v>
      </c>
      <c r="C1011">
        <v>75.889999000000003</v>
      </c>
      <c r="D1011" s="289">
        <f t="shared" si="61"/>
        <v>3.9688188368207644E-3</v>
      </c>
      <c r="E1011">
        <v>4409.5297849999997</v>
      </c>
      <c r="F1011" s="289">
        <f t="shared" si="61"/>
        <v>2.4050260928218936E-3</v>
      </c>
    </row>
    <row r="1012" spans="2:6" hidden="1" outlineLevel="1" x14ac:dyDescent="0.25">
      <c r="B1012" s="291">
        <v>45118</v>
      </c>
      <c r="C1012">
        <v>75.389999000000003</v>
      </c>
      <c r="D1012" s="289">
        <f t="shared" si="61"/>
        <v>-6.5884834179533724E-3</v>
      </c>
      <c r="E1012">
        <v>4439.2597660000001</v>
      </c>
      <c r="F1012" s="289">
        <f t="shared" si="61"/>
        <v>6.7422111766051174E-3</v>
      </c>
    </row>
    <row r="1013" spans="2:6" hidden="1" outlineLevel="1" x14ac:dyDescent="0.25">
      <c r="B1013" s="291">
        <v>45119</v>
      </c>
      <c r="C1013">
        <v>75.160004000000001</v>
      </c>
      <c r="D1013" s="289">
        <f t="shared" si="61"/>
        <v>-3.0507362123721737E-3</v>
      </c>
      <c r="E1013">
        <v>4472.1601559999999</v>
      </c>
      <c r="F1013" s="289">
        <f t="shared" si="61"/>
        <v>7.41123334389715E-3</v>
      </c>
    </row>
    <row r="1014" spans="2:6" hidden="1" outlineLevel="1" x14ac:dyDescent="0.25">
      <c r="B1014" s="291">
        <v>45120</v>
      </c>
      <c r="C1014">
        <v>75.860000999999997</v>
      </c>
      <c r="D1014" s="289">
        <f t="shared" si="61"/>
        <v>9.3134241983274801E-3</v>
      </c>
      <c r="E1014">
        <v>4510.0400390000004</v>
      </c>
      <c r="F1014" s="289">
        <f t="shared" si="61"/>
        <v>8.4701535004687578E-3</v>
      </c>
    </row>
    <row r="1015" spans="2:6" hidden="1" outlineLevel="1" x14ac:dyDescent="0.25">
      <c r="B1015" s="291">
        <v>45121</v>
      </c>
      <c r="C1015">
        <v>76.440002000000007</v>
      </c>
      <c r="D1015" s="289">
        <f t="shared" si="61"/>
        <v>7.6456761449292809E-3</v>
      </c>
      <c r="E1015">
        <v>4505.419922</v>
      </c>
      <c r="F1015" s="289">
        <f t="shared" si="61"/>
        <v>-1.0244070917438952E-3</v>
      </c>
    </row>
    <row r="1016" spans="2:6" hidden="1" outlineLevel="1" x14ac:dyDescent="0.25">
      <c r="B1016" s="291">
        <v>45124</v>
      </c>
      <c r="C1016">
        <v>75.580001999999993</v>
      </c>
      <c r="D1016" s="289">
        <f t="shared" si="61"/>
        <v>-1.1250653813431488E-2</v>
      </c>
      <c r="E1016">
        <v>4522.7900390000004</v>
      </c>
      <c r="F1016" s="289">
        <f t="shared" si="61"/>
        <v>3.8553824728260189E-3</v>
      </c>
    </row>
    <row r="1017" spans="2:6" hidden="1" outlineLevel="1" x14ac:dyDescent="0.25">
      <c r="B1017" s="291">
        <v>45125</v>
      </c>
      <c r="C1017">
        <v>75.839995999999999</v>
      </c>
      <c r="D1017" s="289">
        <f t="shared" si="61"/>
        <v>3.4399840317549391E-3</v>
      </c>
      <c r="E1017">
        <v>4554.9799800000001</v>
      </c>
      <c r="F1017" s="289">
        <f t="shared" si="61"/>
        <v>7.117275116117705E-3</v>
      </c>
    </row>
    <row r="1018" spans="2:6" hidden="1" outlineLevel="1" x14ac:dyDescent="0.25">
      <c r="B1018" s="291">
        <v>45126</v>
      </c>
      <c r="C1018">
        <v>76.419998000000007</v>
      </c>
      <c r="D1018" s="289">
        <f t="shared" si="61"/>
        <v>7.6477060995625568E-3</v>
      </c>
      <c r="E1018">
        <v>4565.7202150000003</v>
      </c>
      <c r="F1018" s="289">
        <f t="shared" si="61"/>
        <v>2.3579104731872302E-3</v>
      </c>
    </row>
    <row r="1019" spans="2:6" hidden="1" outlineLevel="1" x14ac:dyDescent="0.25">
      <c r="B1019" s="291">
        <v>45127</v>
      </c>
      <c r="C1019">
        <v>77</v>
      </c>
      <c r="D1019" s="289">
        <f t="shared" si="61"/>
        <v>7.5896625906741733E-3</v>
      </c>
      <c r="E1019">
        <v>4534.8701170000004</v>
      </c>
      <c r="F1019" s="289">
        <f t="shared" si="61"/>
        <v>-6.7568962939618116E-3</v>
      </c>
    </row>
    <row r="1020" spans="2:6" hidden="1" outlineLevel="1" x14ac:dyDescent="0.25">
      <c r="B1020" s="291">
        <v>45128</v>
      </c>
      <c r="C1020">
        <v>77.190002000000007</v>
      </c>
      <c r="D1020" s="289">
        <f t="shared" si="61"/>
        <v>2.4675584415585483E-3</v>
      </c>
      <c r="E1020">
        <v>4536.3398440000001</v>
      </c>
      <c r="F1020" s="289">
        <f t="shared" si="61"/>
        <v>3.2409461838600606E-4</v>
      </c>
    </row>
    <row r="1021" spans="2:6" hidden="1" outlineLevel="1" x14ac:dyDescent="0.25">
      <c r="B1021" s="291">
        <v>45131</v>
      </c>
      <c r="C1021">
        <v>77.480002999999996</v>
      </c>
      <c r="D1021" s="289">
        <f t="shared" si="61"/>
        <v>3.7569761949221014E-3</v>
      </c>
      <c r="E1021">
        <v>4554.6401370000003</v>
      </c>
      <c r="F1021" s="289">
        <f t="shared" si="61"/>
        <v>4.034153883820002E-3</v>
      </c>
    </row>
    <row r="1022" spans="2:6" hidden="1" outlineLevel="1" x14ac:dyDescent="0.25">
      <c r="B1022" s="291">
        <v>45132</v>
      </c>
      <c r="C1022">
        <v>77.839995999999999</v>
      </c>
      <c r="D1022" s="289">
        <f t="shared" ref="D1022:F1037" si="62">C1022/C1021-1</f>
        <v>4.6462698252607293E-3</v>
      </c>
      <c r="E1022">
        <v>4567.4599609999996</v>
      </c>
      <c r="F1022" s="289">
        <f t="shared" si="62"/>
        <v>2.8146733033540539E-3</v>
      </c>
    </row>
    <row r="1023" spans="2:6" hidden="1" outlineLevel="1" x14ac:dyDescent="0.25">
      <c r="B1023" s="291">
        <v>45133</v>
      </c>
      <c r="C1023">
        <v>77.959998999999996</v>
      </c>
      <c r="D1023" s="289">
        <f t="shared" si="62"/>
        <v>1.541662463600213E-3</v>
      </c>
      <c r="E1023">
        <v>4566.75</v>
      </c>
      <c r="F1023" s="289">
        <f t="shared" si="62"/>
        <v>-1.5543891048019898E-4</v>
      </c>
    </row>
    <row r="1024" spans="2:6" hidden="1" outlineLevel="1" x14ac:dyDescent="0.25">
      <c r="B1024" s="291">
        <v>45134</v>
      </c>
      <c r="C1024">
        <v>77.110000999999997</v>
      </c>
      <c r="D1024" s="289">
        <f t="shared" si="62"/>
        <v>-1.0903001679104629E-2</v>
      </c>
      <c r="E1024">
        <v>4537.4101559999999</v>
      </c>
      <c r="F1024" s="289">
        <f t="shared" si="62"/>
        <v>-6.4246661192314258E-3</v>
      </c>
    </row>
    <row r="1025" spans="2:6" hidden="1" outlineLevel="1" x14ac:dyDescent="0.25">
      <c r="B1025" s="291">
        <v>45135</v>
      </c>
      <c r="C1025">
        <v>75.620002999999997</v>
      </c>
      <c r="D1025" s="289">
        <f t="shared" si="62"/>
        <v>-1.9323018813084958E-2</v>
      </c>
      <c r="E1025">
        <v>4582.2299800000001</v>
      </c>
      <c r="F1025" s="289">
        <f t="shared" si="62"/>
        <v>9.8778427470862518E-3</v>
      </c>
    </row>
    <row r="1026" spans="2:6" hidden="1" outlineLevel="1" x14ac:dyDescent="0.25">
      <c r="B1026" s="291">
        <v>45138</v>
      </c>
      <c r="C1026">
        <v>76.260002</v>
      </c>
      <c r="D1026" s="289">
        <f t="shared" si="62"/>
        <v>8.4633559192004437E-3</v>
      </c>
      <c r="E1026">
        <v>4588.9599609999996</v>
      </c>
      <c r="F1026" s="289">
        <f t="shared" si="62"/>
        <v>1.4687130566064521E-3</v>
      </c>
    </row>
    <row r="1027" spans="2:6" hidden="1" outlineLevel="1" x14ac:dyDescent="0.25">
      <c r="B1027" s="291">
        <v>45139</v>
      </c>
      <c r="C1027">
        <v>76.639999000000003</v>
      </c>
      <c r="D1027" s="289">
        <f t="shared" si="62"/>
        <v>4.9829135855516959E-3</v>
      </c>
      <c r="E1027">
        <v>4576.7299800000001</v>
      </c>
      <c r="F1027" s="289">
        <f t="shared" si="62"/>
        <v>-2.6650877549462271E-3</v>
      </c>
    </row>
    <row r="1028" spans="2:6" hidden="1" outlineLevel="1" x14ac:dyDescent="0.25">
      <c r="B1028" s="291">
        <v>45140</v>
      </c>
      <c r="C1028">
        <v>77.540001000000004</v>
      </c>
      <c r="D1028" s="289">
        <f t="shared" si="62"/>
        <v>1.174324128057469E-2</v>
      </c>
      <c r="E1028">
        <v>4513.3901370000003</v>
      </c>
      <c r="F1028" s="289">
        <f t="shared" si="62"/>
        <v>-1.3839541173892855E-2</v>
      </c>
    </row>
    <row r="1029" spans="2:6" hidden="1" outlineLevel="1" x14ac:dyDescent="0.25">
      <c r="B1029" s="291">
        <v>45141</v>
      </c>
      <c r="C1029">
        <v>76.580001999999993</v>
      </c>
      <c r="D1029" s="289">
        <f t="shared" si="62"/>
        <v>-1.2380693675771437E-2</v>
      </c>
      <c r="E1029">
        <v>4501.8901370000003</v>
      </c>
      <c r="F1029" s="289">
        <f t="shared" si="62"/>
        <v>-2.5479738402680585E-3</v>
      </c>
    </row>
    <row r="1030" spans="2:6" hidden="1" outlineLevel="1" x14ac:dyDescent="0.25">
      <c r="B1030" s="291">
        <v>45142</v>
      </c>
      <c r="C1030">
        <v>76.260002</v>
      </c>
      <c r="D1030" s="289">
        <f t="shared" si="62"/>
        <v>-4.1786366106387751E-3</v>
      </c>
      <c r="E1030">
        <v>4478.0297849999997</v>
      </c>
      <c r="F1030" s="289">
        <f t="shared" si="62"/>
        <v>-5.3000742519009325E-3</v>
      </c>
    </row>
    <row r="1031" spans="2:6" hidden="1" outlineLevel="1" x14ac:dyDescent="0.25">
      <c r="B1031" s="291">
        <v>45145</v>
      </c>
      <c r="C1031">
        <v>76.900002000000001</v>
      </c>
      <c r="D1031" s="289">
        <f t="shared" si="62"/>
        <v>8.3923417678379852E-3</v>
      </c>
      <c r="E1031">
        <v>4518.4399409999996</v>
      </c>
      <c r="F1031" s="289">
        <f t="shared" si="62"/>
        <v>9.0240927238494084E-3</v>
      </c>
    </row>
    <row r="1032" spans="2:6" hidden="1" outlineLevel="1" x14ac:dyDescent="0.25">
      <c r="B1032" s="291">
        <v>45146</v>
      </c>
      <c r="C1032">
        <v>76.330001999999993</v>
      </c>
      <c r="D1032" s="289">
        <f t="shared" si="62"/>
        <v>-7.4122234743245752E-3</v>
      </c>
      <c r="E1032">
        <v>4499.3798829999996</v>
      </c>
      <c r="F1032" s="289">
        <f t="shared" si="62"/>
        <v>-4.218282913766469E-3</v>
      </c>
    </row>
    <row r="1033" spans="2:6" hidden="1" outlineLevel="1" x14ac:dyDescent="0.25">
      <c r="B1033" s="291">
        <v>45147</v>
      </c>
      <c r="C1033">
        <v>76.489998</v>
      </c>
      <c r="D1033" s="289">
        <f t="shared" si="62"/>
        <v>2.0961089454707427E-3</v>
      </c>
      <c r="E1033">
        <v>4467.7099609999996</v>
      </c>
      <c r="F1033" s="289">
        <f t="shared" si="62"/>
        <v>-7.0387304080854474E-3</v>
      </c>
    </row>
    <row r="1034" spans="2:6" hidden="1" outlineLevel="1" x14ac:dyDescent="0.25">
      <c r="B1034" s="291">
        <v>45148</v>
      </c>
      <c r="C1034">
        <v>76.279999000000004</v>
      </c>
      <c r="D1034" s="289">
        <f t="shared" si="62"/>
        <v>-2.7454439206547887E-3</v>
      </c>
      <c r="E1034">
        <v>4468.830078</v>
      </c>
      <c r="F1034" s="289">
        <f t="shared" si="62"/>
        <v>2.5071390259845394E-4</v>
      </c>
    </row>
    <row r="1035" spans="2:6" hidden="1" outlineLevel="1" x14ac:dyDescent="0.25">
      <c r="B1035" s="291">
        <v>45149</v>
      </c>
      <c r="C1035">
        <v>76.900002000000001</v>
      </c>
      <c r="D1035" s="289">
        <f t="shared" si="62"/>
        <v>8.1279890944938593E-3</v>
      </c>
      <c r="E1035">
        <v>4464.0498049999997</v>
      </c>
      <c r="F1035" s="289">
        <f t="shared" si="62"/>
        <v>-1.0696922721527002E-3</v>
      </c>
    </row>
    <row r="1036" spans="2:6" hidden="1" outlineLevel="1" x14ac:dyDescent="0.25">
      <c r="B1036" s="291">
        <v>45152</v>
      </c>
      <c r="C1036">
        <v>75.720000999999996</v>
      </c>
      <c r="D1036" s="289">
        <f t="shared" si="62"/>
        <v>-1.5344615985835808E-2</v>
      </c>
      <c r="E1036">
        <v>4489.7202150000003</v>
      </c>
      <c r="F1036" s="289">
        <f t="shared" si="62"/>
        <v>5.7504757162987197E-3</v>
      </c>
    </row>
    <row r="1037" spans="2:6" hidden="1" outlineLevel="1" x14ac:dyDescent="0.25">
      <c r="B1037" s="291">
        <v>45153</v>
      </c>
      <c r="C1037">
        <v>74.639999000000003</v>
      </c>
      <c r="D1037" s="289">
        <f t="shared" si="62"/>
        <v>-1.4263100709678955E-2</v>
      </c>
      <c r="E1037">
        <v>4437.8598629999997</v>
      </c>
      <c r="F1037" s="289">
        <f t="shared" si="62"/>
        <v>-1.1550909525884667E-2</v>
      </c>
    </row>
    <row r="1038" spans="2:6" hidden="1" outlineLevel="1" x14ac:dyDescent="0.25">
      <c r="B1038" s="291">
        <v>45154</v>
      </c>
      <c r="C1038">
        <v>74.419998000000007</v>
      </c>
      <c r="D1038" s="289">
        <f t="shared" ref="D1038:F1053" si="63">C1038/C1037-1</f>
        <v>-2.9474946804326496E-3</v>
      </c>
      <c r="E1038">
        <v>4404.330078</v>
      </c>
      <c r="F1038" s="289">
        <f t="shared" si="63"/>
        <v>-7.5553951758480231E-3</v>
      </c>
    </row>
    <row r="1039" spans="2:6" hidden="1" outlineLevel="1" x14ac:dyDescent="0.25">
      <c r="B1039" s="291">
        <v>45155</v>
      </c>
      <c r="C1039">
        <v>74</v>
      </c>
      <c r="D1039" s="289">
        <f t="shared" si="63"/>
        <v>-5.6436174588450072E-3</v>
      </c>
      <c r="E1039">
        <v>4370.3598629999997</v>
      </c>
      <c r="F1039" s="289">
        <f t="shared" si="63"/>
        <v>-7.7129130647324295E-3</v>
      </c>
    </row>
    <row r="1040" spans="2:6" hidden="1" outlineLevel="1" x14ac:dyDescent="0.25">
      <c r="B1040" s="291">
        <v>45156</v>
      </c>
      <c r="C1040">
        <v>74.550003000000004</v>
      </c>
      <c r="D1040" s="289">
        <f t="shared" si="63"/>
        <v>7.4324729729731143E-3</v>
      </c>
      <c r="E1040">
        <v>4369.7099609999996</v>
      </c>
      <c r="F1040" s="289">
        <f t="shared" si="63"/>
        <v>-1.4870674735556477E-4</v>
      </c>
    </row>
    <row r="1041" spans="2:6" hidden="1" outlineLevel="1" x14ac:dyDescent="0.25">
      <c r="B1041" s="291">
        <v>45159</v>
      </c>
      <c r="C1041">
        <v>73.800003000000004</v>
      </c>
      <c r="D1041" s="289">
        <f t="shared" si="63"/>
        <v>-1.0060361768194692E-2</v>
      </c>
      <c r="E1041">
        <v>4399.7700199999999</v>
      </c>
      <c r="F1041" s="289">
        <f t="shared" si="63"/>
        <v>6.8791886116672529E-3</v>
      </c>
    </row>
    <row r="1042" spans="2:6" hidden="1" outlineLevel="1" x14ac:dyDescent="0.25">
      <c r="B1042" s="291">
        <v>45160</v>
      </c>
      <c r="C1042">
        <v>73.510002</v>
      </c>
      <c r="D1042" s="289">
        <f t="shared" si="63"/>
        <v>-3.9295526857905383E-3</v>
      </c>
      <c r="E1042">
        <v>4387.5498049999997</v>
      </c>
      <c r="F1042" s="289">
        <f t="shared" si="63"/>
        <v>-2.7774667640469985E-3</v>
      </c>
    </row>
    <row r="1043" spans="2:6" hidden="1" outlineLevel="1" x14ac:dyDescent="0.25">
      <c r="B1043" s="291">
        <v>45161</v>
      </c>
      <c r="C1043">
        <v>73.510002</v>
      </c>
      <c r="D1043" s="289">
        <f t="shared" si="63"/>
        <v>0</v>
      </c>
      <c r="E1043">
        <v>4436.0097660000001</v>
      </c>
      <c r="F1043" s="289">
        <f t="shared" si="63"/>
        <v>1.1044879979430933E-2</v>
      </c>
    </row>
    <row r="1044" spans="2:6" hidden="1" outlineLevel="1" x14ac:dyDescent="0.25">
      <c r="B1044" s="291">
        <v>45162</v>
      </c>
      <c r="C1044">
        <v>73.319999999999993</v>
      </c>
      <c r="D1044" s="289">
        <f t="shared" si="63"/>
        <v>-2.5847094930021575E-3</v>
      </c>
      <c r="E1044">
        <v>4376.3100590000004</v>
      </c>
      <c r="F1044" s="289">
        <f t="shared" si="63"/>
        <v>-1.3457974654963789E-2</v>
      </c>
    </row>
    <row r="1045" spans="2:6" hidden="1" outlineLevel="1" x14ac:dyDescent="0.25">
      <c r="B1045" s="291">
        <v>45163</v>
      </c>
      <c r="C1045">
        <v>73.830001999999993</v>
      </c>
      <c r="D1045" s="289">
        <f t="shared" si="63"/>
        <v>6.9558374249862887E-3</v>
      </c>
      <c r="E1045">
        <v>4405.7099609999996</v>
      </c>
      <c r="F1045" s="289">
        <f t="shared" si="63"/>
        <v>6.7179659584533091E-3</v>
      </c>
    </row>
    <row r="1046" spans="2:6" hidden="1" outlineLevel="1" x14ac:dyDescent="0.25">
      <c r="B1046" s="291">
        <v>45166</v>
      </c>
      <c r="C1046">
        <v>73.639999000000003</v>
      </c>
      <c r="D1046" s="289">
        <f t="shared" si="63"/>
        <v>-2.5735201795062945E-3</v>
      </c>
      <c r="E1046">
        <v>4433.3100590000004</v>
      </c>
      <c r="F1046" s="289">
        <f t="shared" si="63"/>
        <v>6.2646198329714409E-3</v>
      </c>
    </row>
    <row r="1047" spans="2:6" hidden="1" outlineLevel="1" x14ac:dyDescent="0.25">
      <c r="B1047" s="291">
        <v>45167</v>
      </c>
      <c r="C1047">
        <v>73.470000999999996</v>
      </c>
      <c r="D1047" s="289">
        <f t="shared" si="63"/>
        <v>-2.3085008461231071E-3</v>
      </c>
      <c r="E1047">
        <v>4497.6298829999996</v>
      </c>
      <c r="F1047" s="289">
        <f t="shared" si="63"/>
        <v>1.4508307143874299E-2</v>
      </c>
    </row>
    <row r="1048" spans="2:6" hidden="1" outlineLevel="1" x14ac:dyDescent="0.25">
      <c r="B1048" s="291">
        <v>45168</v>
      </c>
      <c r="C1048">
        <v>73.849997999999999</v>
      </c>
      <c r="D1048" s="289">
        <f t="shared" si="63"/>
        <v>5.1721382173386399E-3</v>
      </c>
      <c r="E1048">
        <v>4514.8701170000004</v>
      </c>
      <c r="F1048" s="289">
        <f t="shared" si="63"/>
        <v>3.8331820199712929E-3</v>
      </c>
    </row>
    <row r="1049" spans="2:6" hidden="1" outlineLevel="1" x14ac:dyDescent="0.25">
      <c r="B1049" s="291">
        <v>45169</v>
      </c>
      <c r="C1049">
        <v>73.470000999999996</v>
      </c>
      <c r="D1049" s="289">
        <f t="shared" si="63"/>
        <v>-5.1455248516053542E-3</v>
      </c>
      <c r="E1049">
        <v>4507.6601559999999</v>
      </c>
      <c r="F1049" s="289">
        <f t="shared" si="63"/>
        <v>-1.5969365260037893E-3</v>
      </c>
    </row>
    <row r="1050" spans="2:6" hidden="1" outlineLevel="1" x14ac:dyDescent="0.25">
      <c r="B1050" s="291">
        <v>45170</v>
      </c>
      <c r="C1050">
        <v>73.269997000000004</v>
      </c>
      <c r="D1050" s="289">
        <f t="shared" si="63"/>
        <v>-2.7222539441641436E-3</v>
      </c>
      <c r="E1050">
        <v>4515.7700199999999</v>
      </c>
      <c r="F1050" s="289">
        <f t="shared" si="63"/>
        <v>1.7991294195516261E-3</v>
      </c>
    </row>
    <row r="1051" spans="2:6" hidden="1" outlineLevel="1" x14ac:dyDescent="0.25">
      <c r="B1051" s="291">
        <v>45174</v>
      </c>
      <c r="C1051">
        <v>72.779999000000004</v>
      </c>
      <c r="D1051" s="289">
        <f t="shared" si="63"/>
        <v>-6.6875668085533135E-3</v>
      </c>
      <c r="E1051">
        <v>4496.830078</v>
      </c>
      <c r="F1051" s="289">
        <f t="shared" si="63"/>
        <v>-4.1941777185543483E-3</v>
      </c>
    </row>
    <row r="1052" spans="2:6" hidden="1" outlineLevel="1" x14ac:dyDescent="0.25">
      <c r="B1052" s="291">
        <v>45175</v>
      </c>
      <c r="C1052">
        <v>72.319999999999993</v>
      </c>
      <c r="D1052" s="289">
        <f t="shared" si="63"/>
        <v>-6.3204040439738263E-3</v>
      </c>
      <c r="E1052">
        <v>4465.4799800000001</v>
      </c>
      <c r="F1052" s="289">
        <f t="shared" si="63"/>
        <v>-6.9715994280893367E-3</v>
      </c>
    </row>
    <row r="1053" spans="2:6" hidden="1" outlineLevel="1" x14ac:dyDescent="0.25">
      <c r="B1053" s="291">
        <v>45176</v>
      </c>
      <c r="C1053">
        <v>73.559997999999993</v>
      </c>
      <c r="D1053" s="289">
        <f t="shared" si="63"/>
        <v>1.7145990044247883E-2</v>
      </c>
      <c r="E1053">
        <v>4451.1401370000003</v>
      </c>
      <c r="F1053" s="289">
        <f t="shared" si="63"/>
        <v>-3.2112657685680057E-3</v>
      </c>
    </row>
    <row r="1054" spans="2:6" hidden="1" outlineLevel="1" x14ac:dyDescent="0.25">
      <c r="B1054" s="291">
        <v>45177</v>
      </c>
      <c r="C1054">
        <v>73.199996999999996</v>
      </c>
      <c r="D1054" s="289">
        <f t="shared" ref="D1054:F1069" si="64">C1054/C1053-1</f>
        <v>-4.8939778383354504E-3</v>
      </c>
      <c r="E1054">
        <v>4457.4902339999999</v>
      </c>
      <c r="F1054" s="289">
        <f t="shared" si="64"/>
        <v>1.4266225741164096E-3</v>
      </c>
    </row>
    <row r="1055" spans="2:6" hidden="1" outlineLevel="1" x14ac:dyDescent="0.25">
      <c r="B1055" s="291">
        <v>45180</v>
      </c>
      <c r="C1055">
        <v>73.949996999999996</v>
      </c>
      <c r="D1055" s="289">
        <f t="shared" si="64"/>
        <v>1.0245902059258238E-2</v>
      </c>
      <c r="E1055">
        <v>4487.4599609999996</v>
      </c>
      <c r="F1055" s="289">
        <f t="shared" si="64"/>
        <v>6.7234532049902374E-3</v>
      </c>
    </row>
    <row r="1056" spans="2:6" hidden="1" outlineLevel="1" x14ac:dyDescent="0.25">
      <c r="B1056" s="291">
        <v>45181</v>
      </c>
      <c r="C1056">
        <v>72.519997000000004</v>
      </c>
      <c r="D1056" s="289">
        <f t="shared" si="64"/>
        <v>-1.9337390912943397E-2</v>
      </c>
      <c r="E1056">
        <v>4461.8999020000001</v>
      </c>
      <c r="F1056" s="289">
        <f t="shared" si="64"/>
        <v>-5.6958856952794568E-3</v>
      </c>
    </row>
    <row r="1057" spans="2:6" hidden="1" outlineLevel="1" x14ac:dyDescent="0.25">
      <c r="B1057" s="291">
        <v>45182</v>
      </c>
      <c r="C1057">
        <v>72.830001999999993</v>
      </c>
      <c r="D1057" s="289">
        <f t="shared" si="64"/>
        <v>4.2747519694463776E-3</v>
      </c>
      <c r="E1057">
        <v>4467.4399409999996</v>
      </c>
      <c r="F1057" s="289">
        <f t="shared" si="64"/>
        <v>1.2416322915527189E-3</v>
      </c>
    </row>
    <row r="1058" spans="2:6" hidden="1" outlineLevel="1" x14ac:dyDescent="0.25">
      <c r="B1058" s="291">
        <v>45183</v>
      </c>
      <c r="C1058">
        <v>73.459998999999996</v>
      </c>
      <c r="D1058" s="289">
        <f t="shared" si="64"/>
        <v>8.6502400480505948E-3</v>
      </c>
      <c r="E1058">
        <v>4505.1000979999999</v>
      </c>
      <c r="F1058" s="289">
        <f t="shared" si="64"/>
        <v>8.4299190358159137E-3</v>
      </c>
    </row>
    <row r="1059" spans="2:6" hidden="1" outlineLevel="1" x14ac:dyDescent="0.25">
      <c r="B1059" s="291">
        <v>45184</v>
      </c>
      <c r="C1059">
        <v>73.169998000000007</v>
      </c>
      <c r="D1059" s="289">
        <f t="shared" si="64"/>
        <v>-3.9477403205516737E-3</v>
      </c>
      <c r="E1059">
        <v>4450.3198240000002</v>
      </c>
      <c r="F1059" s="289">
        <f t="shared" si="64"/>
        <v>-1.2159613062608488E-2</v>
      </c>
    </row>
    <row r="1060" spans="2:6" hidden="1" outlineLevel="1" x14ac:dyDescent="0.25">
      <c r="B1060" s="291">
        <v>45187</v>
      </c>
      <c r="C1060">
        <v>73.849997999999999</v>
      </c>
      <c r="D1060" s="289">
        <f t="shared" si="64"/>
        <v>9.2934265216186862E-3</v>
      </c>
      <c r="E1060">
        <v>4453.5297849999997</v>
      </c>
      <c r="F1060" s="289">
        <f t="shared" si="64"/>
        <v>7.2128771120860691E-4</v>
      </c>
    </row>
    <row r="1061" spans="2:6" hidden="1" outlineLevel="1" x14ac:dyDescent="0.25">
      <c r="B1061" s="291">
        <v>45188</v>
      </c>
      <c r="C1061">
        <v>73.220000999999996</v>
      </c>
      <c r="D1061" s="289">
        <f t="shared" si="64"/>
        <v>-8.5307652953491298E-3</v>
      </c>
      <c r="E1061">
        <v>4443.9501950000003</v>
      </c>
      <c r="F1061" s="289">
        <f t="shared" si="64"/>
        <v>-2.151010650532692E-3</v>
      </c>
    </row>
    <row r="1062" spans="2:6" hidden="1" outlineLevel="1" x14ac:dyDescent="0.25">
      <c r="B1062" s="291">
        <v>45189</v>
      </c>
      <c r="C1062">
        <v>73.760002</v>
      </c>
      <c r="D1062" s="289">
        <f t="shared" si="64"/>
        <v>7.3750477004228543E-3</v>
      </c>
      <c r="E1062">
        <v>4402.2001950000003</v>
      </c>
      <c r="F1062" s="289">
        <f t="shared" si="64"/>
        <v>-9.3947947587202929E-3</v>
      </c>
    </row>
    <row r="1063" spans="2:6" hidden="1" outlineLevel="1" x14ac:dyDescent="0.25">
      <c r="B1063" s="291">
        <v>45190</v>
      </c>
      <c r="C1063">
        <v>73.220000999999996</v>
      </c>
      <c r="D1063" s="289">
        <f t="shared" si="64"/>
        <v>-7.3210545737241173E-3</v>
      </c>
      <c r="E1063">
        <v>4330</v>
      </c>
      <c r="F1063" s="289">
        <f t="shared" si="64"/>
        <v>-1.6400934033396486E-2</v>
      </c>
    </row>
    <row r="1064" spans="2:6" hidden="1" outlineLevel="1" x14ac:dyDescent="0.25">
      <c r="B1064" s="291">
        <v>45191</v>
      </c>
      <c r="C1064">
        <v>72.449996999999996</v>
      </c>
      <c r="D1064" s="289">
        <f t="shared" si="64"/>
        <v>-1.0516306876313775E-2</v>
      </c>
      <c r="E1064">
        <v>4320.0600590000004</v>
      </c>
      <c r="F1064" s="289">
        <f t="shared" si="64"/>
        <v>-2.2955983833717886E-3</v>
      </c>
    </row>
    <row r="1065" spans="2:6" hidden="1" outlineLevel="1" x14ac:dyDescent="0.25">
      <c r="B1065" s="291">
        <v>45194</v>
      </c>
      <c r="C1065">
        <v>72.220000999999996</v>
      </c>
      <c r="D1065" s="289">
        <f t="shared" si="64"/>
        <v>-3.1745480955645E-3</v>
      </c>
      <c r="E1065">
        <v>4337.4399409999996</v>
      </c>
      <c r="F1065" s="289">
        <f t="shared" si="64"/>
        <v>4.0230649024870502E-3</v>
      </c>
    </row>
    <row r="1066" spans="2:6" hidden="1" outlineLevel="1" x14ac:dyDescent="0.25">
      <c r="B1066" s="291">
        <v>45195</v>
      </c>
      <c r="C1066">
        <v>72</v>
      </c>
      <c r="D1066" s="289">
        <f t="shared" si="64"/>
        <v>-3.0462613812480832E-3</v>
      </c>
      <c r="E1066">
        <v>4273.5297849999997</v>
      </c>
      <c r="F1066" s="289">
        <f t="shared" si="64"/>
        <v>-1.473453393461055E-2</v>
      </c>
    </row>
    <row r="1067" spans="2:6" hidden="1" outlineLevel="1" x14ac:dyDescent="0.25">
      <c r="B1067" s="291">
        <v>45196</v>
      </c>
      <c r="C1067">
        <v>71.050003000000004</v>
      </c>
      <c r="D1067" s="289">
        <f t="shared" si="64"/>
        <v>-1.3194402777777725E-2</v>
      </c>
      <c r="E1067">
        <v>4274.5097660000001</v>
      </c>
      <c r="F1067" s="289">
        <f t="shared" si="64"/>
        <v>2.2931418506555445E-4</v>
      </c>
    </row>
    <row r="1068" spans="2:6" hidden="1" outlineLevel="1" x14ac:dyDescent="0.25">
      <c r="B1068" s="291">
        <v>45197</v>
      </c>
      <c r="C1068">
        <v>71.309997999999993</v>
      </c>
      <c r="D1068" s="289">
        <f t="shared" si="64"/>
        <v>3.6593242649123336E-3</v>
      </c>
      <c r="E1068">
        <v>4299.7001950000003</v>
      </c>
      <c r="F1068" s="289">
        <f t="shared" si="64"/>
        <v>5.893173809162322E-3</v>
      </c>
    </row>
    <row r="1069" spans="2:6" hidden="1" outlineLevel="1" x14ac:dyDescent="0.25">
      <c r="B1069" s="291">
        <v>45198</v>
      </c>
      <c r="C1069">
        <v>71.110000999999997</v>
      </c>
      <c r="D1069" s="289">
        <f t="shared" si="64"/>
        <v>-2.8046137373330948E-3</v>
      </c>
      <c r="E1069">
        <v>4288.0498049999997</v>
      </c>
      <c r="F1069" s="289">
        <f t="shared" si="64"/>
        <v>-2.7095819409801436E-3</v>
      </c>
    </row>
    <row r="1070" spans="2:6" hidden="1" outlineLevel="1" x14ac:dyDescent="0.25">
      <c r="B1070" s="291">
        <v>45201</v>
      </c>
      <c r="C1070">
        <v>70.760002</v>
      </c>
      <c r="D1070" s="289">
        <f t="shared" ref="D1070:F1085" si="65">C1070/C1069-1</f>
        <v>-4.9219377735628678E-3</v>
      </c>
      <c r="E1070">
        <v>4288.3901370000003</v>
      </c>
      <c r="F1070" s="289">
        <f t="shared" si="65"/>
        <v>7.9367548297515356E-5</v>
      </c>
    </row>
    <row r="1071" spans="2:6" hidden="1" outlineLevel="1" x14ac:dyDescent="0.25">
      <c r="B1071" s="291">
        <v>45202</v>
      </c>
      <c r="C1071">
        <v>70.470000999999996</v>
      </c>
      <c r="D1071" s="289">
        <f t="shared" si="65"/>
        <v>-4.0983746721771075E-3</v>
      </c>
      <c r="E1071">
        <v>4229.4501950000003</v>
      </c>
      <c r="F1071" s="289">
        <f t="shared" si="65"/>
        <v>-1.3744071811813363E-2</v>
      </c>
    </row>
    <row r="1072" spans="2:6" hidden="1" outlineLevel="1" x14ac:dyDescent="0.25">
      <c r="B1072" s="291">
        <v>45203</v>
      </c>
      <c r="C1072">
        <v>70.559997999999993</v>
      </c>
      <c r="D1072" s="289">
        <f t="shared" si="65"/>
        <v>1.2770966187440891E-3</v>
      </c>
      <c r="E1072">
        <v>4263.75</v>
      </c>
      <c r="F1072" s="289">
        <f t="shared" si="65"/>
        <v>8.1097550316464595E-3</v>
      </c>
    </row>
    <row r="1073" spans="2:6" hidden="1" outlineLevel="1" x14ac:dyDescent="0.25">
      <c r="B1073" s="291">
        <v>45204</v>
      </c>
      <c r="C1073">
        <v>69.269997000000004</v>
      </c>
      <c r="D1073" s="289">
        <f t="shared" si="65"/>
        <v>-1.8282327615712135E-2</v>
      </c>
      <c r="E1073">
        <v>4258.1899409999996</v>
      </c>
      <c r="F1073" s="289">
        <f t="shared" si="65"/>
        <v>-1.3040302550572092E-3</v>
      </c>
    </row>
    <row r="1074" spans="2:6" hidden="1" outlineLevel="1" x14ac:dyDescent="0.25">
      <c r="B1074" s="291">
        <v>45205</v>
      </c>
      <c r="C1074">
        <v>69.430000000000007</v>
      </c>
      <c r="D1074" s="289">
        <f t="shared" si="65"/>
        <v>2.3098456320129745E-3</v>
      </c>
      <c r="E1074">
        <v>4308.5</v>
      </c>
      <c r="F1074" s="289">
        <f t="shared" si="65"/>
        <v>1.1814893111176117E-2</v>
      </c>
    </row>
    <row r="1075" spans="2:6" hidden="1" outlineLevel="1" x14ac:dyDescent="0.25">
      <c r="B1075" s="291">
        <v>45208</v>
      </c>
      <c r="C1075">
        <v>69.309997999999993</v>
      </c>
      <c r="D1075" s="289">
        <f t="shared" si="65"/>
        <v>-1.7283883047676252E-3</v>
      </c>
      <c r="E1075">
        <v>4335.6601559999999</v>
      </c>
      <c r="F1075" s="289">
        <f t="shared" si="65"/>
        <v>6.303854241615392E-3</v>
      </c>
    </row>
    <row r="1076" spans="2:6" hidden="1" outlineLevel="1" x14ac:dyDescent="0.25">
      <c r="B1076" s="291">
        <v>45209</v>
      </c>
      <c r="C1076">
        <v>69.489998</v>
      </c>
      <c r="D1076" s="289">
        <f t="shared" si="65"/>
        <v>2.5970279208493707E-3</v>
      </c>
      <c r="E1076">
        <v>4358.2402339999999</v>
      </c>
      <c r="F1076" s="289">
        <f t="shared" si="65"/>
        <v>5.2079907528619351E-3</v>
      </c>
    </row>
    <row r="1077" spans="2:6" hidden="1" outlineLevel="1" x14ac:dyDescent="0.25">
      <c r="B1077" s="291">
        <v>45210</v>
      </c>
      <c r="C1077">
        <v>68.870002999999997</v>
      </c>
      <c r="D1077" s="289">
        <f t="shared" si="65"/>
        <v>-8.9220753755094862E-3</v>
      </c>
      <c r="E1077">
        <v>4376.9501950000003</v>
      </c>
      <c r="F1077" s="289">
        <f t="shared" si="65"/>
        <v>4.2930081857439628E-3</v>
      </c>
    </row>
    <row r="1078" spans="2:6" hidden="1" outlineLevel="1" x14ac:dyDescent="0.25">
      <c r="B1078" s="291">
        <v>45211</v>
      </c>
      <c r="C1078">
        <v>69.699996999999996</v>
      </c>
      <c r="D1078" s="289">
        <f t="shared" si="65"/>
        <v>1.2051603947222045E-2</v>
      </c>
      <c r="E1078">
        <v>4349.6098629999997</v>
      </c>
      <c r="F1078" s="289">
        <f t="shared" si="65"/>
        <v>-6.2464343394249555E-3</v>
      </c>
    </row>
    <row r="1079" spans="2:6" hidden="1" outlineLevel="1" x14ac:dyDescent="0.25">
      <c r="B1079" s="291">
        <v>45212</v>
      </c>
      <c r="C1079">
        <v>70.949996999999996</v>
      </c>
      <c r="D1079" s="289">
        <f t="shared" si="65"/>
        <v>1.7934003641348895E-2</v>
      </c>
      <c r="E1079">
        <v>4327.7797849999997</v>
      </c>
      <c r="F1079" s="289">
        <f t="shared" si="65"/>
        <v>-5.0188588603538031E-3</v>
      </c>
    </row>
    <row r="1080" spans="2:6" hidden="1" outlineLevel="1" x14ac:dyDescent="0.25">
      <c r="B1080" s="291">
        <v>45215</v>
      </c>
      <c r="C1080">
        <v>72.150002000000001</v>
      </c>
      <c r="D1080" s="289">
        <f t="shared" si="65"/>
        <v>1.69133904262182E-2</v>
      </c>
      <c r="E1080">
        <v>4373.6298829999996</v>
      </c>
      <c r="F1080" s="289">
        <f t="shared" si="65"/>
        <v>1.0594369463741149E-2</v>
      </c>
    </row>
    <row r="1081" spans="2:6" hidden="1" outlineLevel="1" x14ac:dyDescent="0.25">
      <c r="B1081" s="291">
        <v>45216</v>
      </c>
      <c r="C1081">
        <v>72.080001999999993</v>
      </c>
      <c r="D1081" s="289">
        <f t="shared" si="65"/>
        <v>-9.7020094330702022E-4</v>
      </c>
      <c r="E1081">
        <v>4373.2001950000003</v>
      </c>
      <c r="F1081" s="289">
        <f t="shared" si="65"/>
        <v>-9.8245167399646505E-5</v>
      </c>
    </row>
    <row r="1082" spans="2:6" hidden="1" outlineLevel="1" x14ac:dyDescent="0.25">
      <c r="B1082" s="291">
        <v>45217</v>
      </c>
      <c r="C1082">
        <v>73.069999999999993</v>
      </c>
      <c r="D1082" s="289">
        <f t="shared" si="65"/>
        <v>1.3734711050646276E-2</v>
      </c>
      <c r="E1082">
        <v>4314.6000979999999</v>
      </c>
      <c r="F1082" s="289">
        <f t="shared" si="65"/>
        <v>-1.3399820357412273E-2</v>
      </c>
    </row>
    <row r="1083" spans="2:6" hidden="1" outlineLevel="1" x14ac:dyDescent="0.25">
      <c r="B1083" s="291">
        <v>45218</v>
      </c>
      <c r="C1083">
        <v>73.190002000000007</v>
      </c>
      <c r="D1083" s="289">
        <f t="shared" si="65"/>
        <v>1.6422882167785868E-3</v>
      </c>
      <c r="E1083">
        <v>4278</v>
      </c>
      <c r="F1083" s="289">
        <f t="shared" si="65"/>
        <v>-8.4828482753165346E-3</v>
      </c>
    </row>
    <row r="1084" spans="2:6" hidden="1" outlineLevel="1" x14ac:dyDescent="0.25">
      <c r="B1084" s="291">
        <v>45219</v>
      </c>
      <c r="C1084">
        <v>73.269997000000004</v>
      </c>
      <c r="D1084" s="289">
        <f t="shared" si="65"/>
        <v>1.0929771528083165E-3</v>
      </c>
      <c r="E1084">
        <v>4224.1601559999999</v>
      </c>
      <c r="F1084" s="289">
        <f t="shared" si="65"/>
        <v>-1.258528377746615E-2</v>
      </c>
    </row>
    <row r="1085" spans="2:6" hidden="1" outlineLevel="1" x14ac:dyDescent="0.25">
      <c r="B1085" s="291">
        <v>45222</v>
      </c>
      <c r="C1085">
        <v>71.959998999999996</v>
      </c>
      <c r="D1085" s="289">
        <f t="shared" si="65"/>
        <v>-1.7879050820761022E-2</v>
      </c>
      <c r="E1085">
        <v>4217.0400390000004</v>
      </c>
      <c r="F1085" s="289">
        <f t="shared" si="65"/>
        <v>-1.6855698498756677E-3</v>
      </c>
    </row>
    <row r="1086" spans="2:6" hidden="1" outlineLevel="1" x14ac:dyDescent="0.25">
      <c r="B1086" s="291">
        <v>45223</v>
      </c>
      <c r="C1086">
        <v>72.839995999999999</v>
      </c>
      <c r="D1086" s="289">
        <f t="shared" ref="D1086:F1101" si="66">C1086/C1085-1</f>
        <v>1.2228974600180242E-2</v>
      </c>
      <c r="E1086">
        <v>4247.6801759999998</v>
      </c>
      <c r="F1086" s="289">
        <f t="shared" si="66"/>
        <v>7.2657922895285054E-3</v>
      </c>
    </row>
    <row r="1087" spans="2:6" hidden="1" outlineLevel="1" x14ac:dyDescent="0.25">
      <c r="B1087" s="291">
        <v>45224</v>
      </c>
      <c r="C1087">
        <v>73.410004000000001</v>
      </c>
      <c r="D1087" s="289">
        <f t="shared" si="66"/>
        <v>7.825480934952278E-3</v>
      </c>
      <c r="E1087">
        <v>4186.7700199999999</v>
      </c>
      <c r="F1087" s="289">
        <f t="shared" si="66"/>
        <v>-1.4339628568118434E-2</v>
      </c>
    </row>
    <row r="1088" spans="2:6" hidden="1" outlineLevel="1" x14ac:dyDescent="0.25">
      <c r="B1088" s="291">
        <v>45225</v>
      </c>
      <c r="C1088">
        <v>73.080001999999993</v>
      </c>
      <c r="D1088" s="289">
        <f t="shared" si="66"/>
        <v>-4.4953273670984562E-3</v>
      </c>
      <c r="E1088">
        <v>4137.2299800000001</v>
      </c>
      <c r="F1088" s="289">
        <f t="shared" si="66"/>
        <v>-1.183252000070445E-2</v>
      </c>
    </row>
    <row r="1089" spans="2:6" hidden="1" outlineLevel="1" x14ac:dyDescent="0.25">
      <c r="B1089" s="291">
        <v>45226</v>
      </c>
      <c r="C1089">
        <v>71.790001000000004</v>
      </c>
      <c r="D1089" s="289">
        <f t="shared" si="66"/>
        <v>-1.7651901542093396E-2</v>
      </c>
      <c r="E1089">
        <v>4117.3701170000004</v>
      </c>
      <c r="F1089" s="289">
        <f t="shared" si="66"/>
        <v>-4.8002801623321378E-3</v>
      </c>
    </row>
    <row r="1090" spans="2:6" hidden="1" outlineLevel="1" x14ac:dyDescent="0.25">
      <c r="B1090" s="291">
        <v>45229</v>
      </c>
      <c r="C1090">
        <v>73.879997000000003</v>
      </c>
      <c r="D1090" s="289">
        <f t="shared" si="66"/>
        <v>2.9112633666072751E-2</v>
      </c>
      <c r="E1090">
        <v>4166.8198240000002</v>
      </c>
      <c r="F1090" s="289">
        <f t="shared" si="66"/>
        <v>1.2010022318816871E-2</v>
      </c>
    </row>
    <row r="1091" spans="2:6" hidden="1" outlineLevel="1" x14ac:dyDescent="0.25">
      <c r="B1091" s="291">
        <v>45230</v>
      </c>
      <c r="C1091">
        <v>75.120002999999997</v>
      </c>
      <c r="D1091" s="289">
        <f t="shared" si="66"/>
        <v>1.6784055906228446E-2</v>
      </c>
      <c r="E1091">
        <v>4193.7998049999997</v>
      </c>
      <c r="F1091" s="289">
        <f t="shared" si="66"/>
        <v>6.4749574350684291E-3</v>
      </c>
    </row>
    <row r="1092" spans="2:6" hidden="1" outlineLevel="1" x14ac:dyDescent="0.25">
      <c r="B1092" s="291">
        <v>45231</v>
      </c>
      <c r="C1092">
        <v>74.930000000000007</v>
      </c>
      <c r="D1092" s="289">
        <f t="shared" si="66"/>
        <v>-2.5293263100640839E-3</v>
      </c>
      <c r="E1092">
        <v>4237.8598629999997</v>
      </c>
      <c r="F1092" s="289">
        <f t="shared" si="66"/>
        <v>1.050599934395291E-2</v>
      </c>
    </row>
    <row r="1093" spans="2:6" hidden="1" outlineLevel="1" x14ac:dyDescent="0.25">
      <c r="B1093" s="291">
        <v>45232</v>
      </c>
      <c r="C1093">
        <v>74.800003000000004</v>
      </c>
      <c r="D1093" s="289">
        <f t="shared" si="66"/>
        <v>-1.7349125850794067E-3</v>
      </c>
      <c r="E1093">
        <v>4317.7797849999997</v>
      </c>
      <c r="F1093" s="289">
        <f t="shared" si="66"/>
        <v>1.8858557050875246E-2</v>
      </c>
    </row>
    <row r="1094" spans="2:6" hidden="1" outlineLevel="1" x14ac:dyDescent="0.25">
      <c r="B1094" s="291">
        <v>45233</v>
      </c>
      <c r="C1094">
        <v>74.819999999999993</v>
      </c>
      <c r="D1094" s="289">
        <f t="shared" si="66"/>
        <v>2.6733956147029225E-4</v>
      </c>
      <c r="E1094">
        <v>4358.3398440000001</v>
      </c>
      <c r="F1094" s="289">
        <f t="shared" si="66"/>
        <v>9.3937303474591616E-3</v>
      </c>
    </row>
    <row r="1095" spans="2:6" hidden="1" outlineLevel="1" x14ac:dyDescent="0.25">
      <c r="B1095" s="291">
        <v>45236</v>
      </c>
      <c r="C1095">
        <v>75.209998999999996</v>
      </c>
      <c r="D1095" s="289">
        <f t="shared" si="66"/>
        <v>5.2124966586475363E-3</v>
      </c>
      <c r="E1095">
        <v>4365.9799800000001</v>
      </c>
      <c r="F1095" s="289">
        <f t="shared" si="66"/>
        <v>1.7529922570214129E-3</v>
      </c>
    </row>
    <row r="1096" spans="2:6" hidden="1" outlineLevel="1" x14ac:dyDescent="0.25">
      <c r="B1096" s="291">
        <v>45237</v>
      </c>
      <c r="C1096">
        <v>75.230002999999996</v>
      </c>
      <c r="D1096" s="289">
        <f t="shared" si="66"/>
        <v>2.6597527278249267E-4</v>
      </c>
      <c r="E1096">
        <v>4378.3798829999996</v>
      </c>
      <c r="F1096" s="289">
        <f t="shared" si="66"/>
        <v>2.8401190698998935E-3</v>
      </c>
    </row>
    <row r="1097" spans="2:6" hidden="1" outlineLevel="1" x14ac:dyDescent="0.25">
      <c r="B1097" s="291">
        <v>45238</v>
      </c>
      <c r="C1097">
        <v>75.239998</v>
      </c>
      <c r="D1097" s="289">
        <f t="shared" si="66"/>
        <v>1.3285922639139081E-4</v>
      </c>
      <c r="E1097">
        <v>4382.7797849999997</v>
      </c>
      <c r="F1097" s="289">
        <f t="shared" si="66"/>
        <v>1.0049155435516433E-3</v>
      </c>
    </row>
    <row r="1098" spans="2:6" hidden="1" outlineLevel="1" x14ac:dyDescent="0.25">
      <c r="B1098" s="291">
        <v>45239</v>
      </c>
      <c r="C1098">
        <v>75.139999000000003</v>
      </c>
      <c r="D1098" s="289">
        <f t="shared" si="66"/>
        <v>-1.3290670209745725E-3</v>
      </c>
      <c r="E1098">
        <v>4347.3500979999999</v>
      </c>
      <c r="F1098" s="289">
        <f t="shared" si="66"/>
        <v>-8.0838391929380915E-3</v>
      </c>
    </row>
    <row r="1099" spans="2:6" hidden="1" outlineLevel="1" x14ac:dyDescent="0.25">
      <c r="B1099" s="291">
        <v>45240</v>
      </c>
      <c r="C1099">
        <v>75.430000000000007</v>
      </c>
      <c r="D1099" s="289">
        <f t="shared" si="66"/>
        <v>3.8594756968255428E-3</v>
      </c>
      <c r="E1099">
        <v>4415.2402339999999</v>
      </c>
      <c r="F1099" s="289">
        <f t="shared" si="66"/>
        <v>1.5616440928287068E-2</v>
      </c>
    </row>
    <row r="1100" spans="2:6" hidden="1" outlineLevel="1" x14ac:dyDescent="0.25">
      <c r="B1100" s="291">
        <v>45243</v>
      </c>
      <c r="C1100">
        <v>75.949996999999996</v>
      </c>
      <c r="D1100" s="289">
        <f t="shared" si="66"/>
        <v>6.89376905740402E-3</v>
      </c>
      <c r="E1100">
        <v>4411.5498049999997</v>
      </c>
      <c r="F1100" s="289">
        <f t="shared" si="66"/>
        <v>-8.3583877760073921E-4</v>
      </c>
    </row>
    <row r="1101" spans="2:6" hidden="1" outlineLevel="1" x14ac:dyDescent="0.25">
      <c r="B1101" s="291">
        <v>45244</v>
      </c>
      <c r="C1101">
        <v>76.660004000000001</v>
      </c>
      <c r="D1101" s="289">
        <f t="shared" si="66"/>
        <v>9.3483479663600821E-3</v>
      </c>
      <c r="E1101">
        <v>4495.7001950000003</v>
      </c>
      <c r="F1101" s="289">
        <f t="shared" si="66"/>
        <v>1.907501756063712E-2</v>
      </c>
    </row>
    <row r="1102" spans="2:6" hidden="1" outlineLevel="1" x14ac:dyDescent="0.25">
      <c r="B1102" s="291">
        <v>45245</v>
      </c>
      <c r="C1102">
        <v>75.470000999999996</v>
      </c>
      <c r="D1102" s="289">
        <f t="shared" ref="D1102:F1117" si="67">C1102/C1101-1</f>
        <v>-1.5523127288122773E-2</v>
      </c>
      <c r="E1102">
        <v>4502.8798829999996</v>
      </c>
      <c r="F1102" s="289">
        <f t="shared" si="67"/>
        <v>1.5970121868855713E-3</v>
      </c>
    </row>
    <row r="1103" spans="2:6" hidden="1" outlineLevel="1" x14ac:dyDescent="0.25">
      <c r="B1103" s="291">
        <v>45246</v>
      </c>
      <c r="C1103">
        <v>75.980002999999996</v>
      </c>
      <c r="D1103" s="289">
        <f t="shared" si="67"/>
        <v>6.7576784582261684E-3</v>
      </c>
      <c r="E1103">
        <v>4508.2402339999999</v>
      </c>
      <c r="F1103" s="289">
        <f t="shared" si="67"/>
        <v>1.1904272686102946E-3</v>
      </c>
    </row>
    <row r="1104" spans="2:6" hidden="1" outlineLevel="1" x14ac:dyDescent="0.25">
      <c r="B1104" s="291">
        <v>45247</v>
      </c>
      <c r="C1104">
        <v>75.580001999999993</v>
      </c>
      <c r="D1104" s="289">
        <f t="shared" si="67"/>
        <v>-5.2645562543608415E-3</v>
      </c>
      <c r="E1104">
        <v>4514.0200199999999</v>
      </c>
      <c r="F1104" s="289">
        <f t="shared" si="67"/>
        <v>1.2820492476000034E-3</v>
      </c>
    </row>
    <row r="1105" spans="2:6" hidden="1" outlineLevel="1" x14ac:dyDescent="0.25">
      <c r="B1105" s="291">
        <v>45250</v>
      </c>
      <c r="C1105">
        <v>75.470000999999996</v>
      </c>
      <c r="D1105" s="289">
        <f t="shared" si="67"/>
        <v>-1.4554246770196455E-3</v>
      </c>
      <c r="E1105">
        <v>4547.3798829999996</v>
      </c>
      <c r="F1105" s="289">
        <f t="shared" si="67"/>
        <v>7.3902780342565144E-3</v>
      </c>
    </row>
    <row r="1106" spans="2:6" hidden="1" outlineLevel="1" x14ac:dyDescent="0.25">
      <c r="B1106" s="291">
        <v>45251</v>
      </c>
      <c r="C1106">
        <v>76.569999999999993</v>
      </c>
      <c r="D1106" s="289">
        <f t="shared" si="67"/>
        <v>1.4575314501453329E-2</v>
      </c>
      <c r="E1106">
        <v>4538.1899409999996</v>
      </c>
      <c r="F1106" s="289">
        <f t="shared" si="67"/>
        <v>-2.020931225551581E-3</v>
      </c>
    </row>
    <row r="1107" spans="2:6" hidden="1" outlineLevel="1" x14ac:dyDescent="0.25">
      <c r="B1107" s="291">
        <v>45252</v>
      </c>
      <c r="C1107">
        <v>77.279999000000004</v>
      </c>
      <c r="D1107" s="289">
        <f t="shared" si="67"/>
        <v>9.2725479952986412E-3</v>
      </c>
      <c r="E1107">
        <v>4556.6201170000004</v>
      </c>
      <c r="F1107" s="289">
        <f t="shared" si="67"/>
        <v>4.061129269512076E-3</v>
      </c>
    </row>
    <row r="1108" spans="2:6" hidden="1" outlineLevel="1" x14ac:dyDescent="0.25">
      <c r="B1108" s="291">
        <v>45254</v>
      </c>
      <c r="C1108">
        <v>77.309997999999993</v>
      </c>
      <c r="D1108" s="289">
        <f t="shared" si="67"/>
        <v>3.8818582282829084E-4</v>
      </c>
      <c r="E1108">
        <v>4559.3398440000001</v>
      </c>
      <c r="F1108" s="289">
        <f t="shared" si="67"/>
        <v>5.9687376392281166E-4</v>
      </c>
    </row>
    <row r="1109" spans="2:6" hidden="1" outlineLevel="1" x14ac:dyDescent="0.25">
      <c r="B1109" s="291">
        <v>45257</v>
      </c>
      <c r="C1109">
        <v>77.110000999999997</v>
      </c>
      <c r="D1109" s="289">
        <f t="shared" si="67"/>
        <v>-2.5869487152230253E-3</v>
      </c>
      <c r="E1109">
        <v>4550.4301759999998</v>
      </c>
      <c r="F1109" s="289">
        <f t="shared" si="67"/>
        <v>-1.9541574668370254E-3</v>
      </c>
    </row>
    <row r="1110" spans="2:6" hidden="1" outlineLevel="1" x14ac:dyDescent="0.25">
      <c r="B1110" s="291">
        <v>45258</v>
      </c>
      <c r="C1110">
        <v>77.870002999999997</v>
      </c>
      <c r="D1110" s="289">
        <f t="shared" si="67"/>
        <v>9.8560756081431666E-3</v>
      </c>
      <c r="E1110">
        <v>4554.8901370000003</v>
      </c>
      <c r="F1110" s="289">
        <f t="shared" si="67"/>
        <v>9.80118544291253E-4</v>
      </c>
    </row>
    <row r="1111" spans="2:6" hidden="1" outlineLevel="1" x14ac:dyDescent="0.25">
      <c r="B1111" s="291">
        <v>45259</v>
      </c>
      <c r="C1111">
        <v>77.879997000000003</v>
      </c>
      <c r="D1111" s="289">
        <f t="shared" si="67"/>
        <v>1.2834210369816468E-4</v>
      </c>
      <c r="E1111">
        <v>4550.580078</v>
      </c>
      <c r="F1111" s="289">
        <f t="shared" si="67"/>
        <v>-9.4624872836979179E-4</v>
      </c>
    </row>
    <row r="1112" spans="2:6" hidden="1" outlineLevel="1" x14ac:dyDescent="0.25">
      <c r="B1112" s="291">
        <v>45260</v>
      </c>
      <c r="C1112">
        <v>78.769997000000004</v>
      </c>
      <c r="D1112" s="289">
        <f t="shared" si="67"/>
        <v>1.1427838139233648E-2</v>
      </c>
      <c r="E1112">
        <v>4567.7998049999997</v>
      </c>
      <c r="F1112" s="289">
        <f t="shared" si="67"/>
        <v>3.7840729544018625E-3</v>
      </c>
    </row>
    <row r="1113" spans="2:6" hidden="1" outlineLevel="1" x14ac:dyDescent="0.25">
      <c r="B1113" s="291">
        <v>45261</v>
      </c>
      <c r="C1113">
        <v>78.699996999999996</v>
      </c>
      <c r="D1113" s="289">
        <f t="shared" si="67"/>
        <v>-8.8866323049385798E-4</v>
      </c>
      <c r="E1113">
        <v>4594.6298829999996</v>
      </c>
      <c r="F1113" s="289">
        <f t="shared" si="67"/>
        <v>5.8737420958403508E-3</v>
      </c>
    </row>
    <row r="1114" spans="2:6" hidden="1" outlineLevel="1" x14ac:dyDescent="0.25">
      <c r="B1114" s="291">
        <v>45264</v>
      </c>
      <c r="C1114">
        <v>78.980002999999996</v>
      </c>
      <c r="D1114" s="289">
        <f t="shared" si="67"/>
        <v>3.5578908598941084E-3</v>
      </c>
      <c r="E1114">
        <v>4569.7797849999997</v>
      </c>
      <c r="F1114" s="289">
        <f t="shared" si="67"/>
        <v>-5.4085092015668801E-3</v>
      </c>
    </row>
    <row r="1115" spans="2:6" hidden="1" outlineLevel="1" x14ac:dyDescent="0.25">
      <c r="B1115" s="291">
        <v>45265</v>
      </c>
      <c r="C1115">
        <v>77.680000000000007</v>
      </c>
      <c r="D1115" s="289">
        <f t="shared" si="67"/>
        <v>-1.6459900615602541E-2</v>
      </c>
      <c r="E1115">
        <v>4567.1801759999998</v>
      </c>
      <c r="F1115" s="289">
        <f t="shared" si="67"/>
        <v>-5.6886964412006247E-4</v>
      </c>
    </row>
    <row r="1116" spans="2:6" hidden="1" outlineLevel="1" x14ac:dyDescent="0.25">
      <c r="B1116" s="291">
        <v>45266</v>
      </c>
      <c r="C1116">
        <v>77.470000999999996</v>
      </c>
      <c r="D1116" s="289">
        <f t="shared" si="67"/>
        <v>-2.7033856848610593E-3</v>
      </c>
      <c r="E1116">
        <v>4549.3398440000001</v>
      </c>
      <c r="F1116" s="289">
        <f t="shared" si="67"/>
        <v>-3.9062028018400641E-3</v>
      </c>
    </row>
    <row r="1117" spans="2:6" hidden="1" outlineLevel="1" x14ac:dyDescent="0.25">
      <c r="B1117" s="291">
        <v>45267</v>
      </c>
      <c r="C1117">
        <v>77.620002999999997</v>
      </c>
      <c r="D1117" s="289">
        <f t="shared" si="67"/>
        <v>1.9362591721148181E-3</v>
      </c>
      <c r="E1117">
        <v>4585.5898440000001</v>
      </c>
      <c r="F1117" s="289">
        <f t="shared" si="67"/>
        <v>7.9681890654550447E-3</v>
      </c>
    </row>
    <row r="1118" spans="2:6" hidden="1" outlineLevel="1" x14ac:dyDescent="0.25">
      <c r="B1118" s="291">
        <v>45268</v>
      </c>
      <c r="C1118">
        <v>77.169998000000007</v>
      </c>
      <c r="D1118" s="289">
        <f t="shared" ref="D1118:F1133" si="68">C1118/C1117-1</f>
        <v>-5.7975390699223084E-3</v>
      </c>
      <c r="E1118">
        <v>4604.3701170000004</v>
      </c>
      <c r="F1118" s="289">
        <f t="shared" si="68"/>
        <v>4.095497774309953E-3</v>
      </c>
    </row>
    <row r="1119" spans="2:6" hidden="1" outlineLevel="1" x14ac:dyDescent="0.25">
      <c r="B1119" s="291">
        <v>45271</v>
      </c>
      <c r="C1119">
        <v>77.639999000000003</v>
      </c>
      <c r="D1119" s="289">
        <f t="shared" si="68"/>
        <v>6.0904627728510796E-3</v>
      </c>
      <c r="E1119">
        <v>4622.4399409999996</v>
      </c>
      <c r="F1119" s="289">
        <f t="shared" si="68"/>
        <v>3.9244942393494853E-3</v>
      </c>
    </row>
    <row r="1120" spans="2:6" hidden="1" outlineLevel="1" x14ac:dyDescent="0.25">
      <c r="B1120" s="291">
        <v>45272</v>
      </c>
      <c r="C1120">
        <v>78.589995999999999</v>
      </c>
      <c r="D1120" s="289">
        <f t="shared" si="68"/>
        <v>1.2235922362647145E-2</v>
      </c>
      <c r="E1120">
        <v>4643.7001950000003</v>
      </c>
      <c r="F1120" s="289">
        <f t="shared" si="68"/>
        <v>4.5993575409011278E-3</v>
      </c>
    </row>
    <row r="1121" spans="2:6" hidden="1" outlineLevel="1" x14ac:dyDescent="0.25">
      <c r="B1121" s="291">
        <v>45273</v>
      </c>
      <c r="C1121">
        <v>79.389999000000003</v>
      </c>
      <c r="D1121" s="289">
        <f t="shared" si="68"/>
        <v>1.0179450829848724E-2</v>
      </c>
      <c r="E1121">
        <v>4707.0898440000001</v>
      </c>
      <c r="F1121" s="289">
        <f t="shared" si="68"/>
        <v>1.3650676473096368E-2</v>
      </c>
    </row>
    <row r="1122" spans="2:6" hidden="1" outlineLevel="1" x14ac:dyDescent="0.25">
      <c r="B1122" s="291">
        <v>45274</v>
      </c>
      <c r="C1122">
        <v>76.269997000000004</v>
      </c>
      <c r="D1122" s="289">
        <f t="shared" si="68"/>
        <v>-3.9299685593899514E-2</v>
      </c>
      <c r="E1122">
        <v>4719.5498049999997</v>
      </c>
      <c r="F1122" s="289">
        <f t="shared" si="68"/>
        <v>2.6470624978365276E-3</v>
      </c>
    </row>
    <row r="1123" spans="2:6" hidden="1" outlineLevel="1" x14ac:dyDescent="0.25">
      <c r="B1123" s="291">
        <v>45275</v>
      </c>
      <c r="C1123">
        <v>76.980002999999996</v>
      </c>
      <c r="D1123" s="289">
        <f t="shared" si="68"/>
        <v>9.3091127301341281E-3</v>
      </c>
      <c r="E1123">
        <v>4719.1899409999996</v>
      </c>
      <c r="F1123" s="289">
        <f t="shared" si="68"/>
        <v>-7.624964559516112E-5</v>
      </c>
    </row>
    <row r="1124" spans="2:6" hidden="1" outlineLevel="1" x14ac:dyDescent="0.25">
      <c r="B1124" s="291">
        <v>45278</v>
      </c>
      <c r="C1124">
        <v>78.059997999999993</v>
      </c>
      <c r="D1124" s="289">
        <f t="shared" si="68"/>
        <v>1.4029552583935345E-2</v>
      </c>
      <c r="E1124">
        <v>4740.5600590000004</v>
      </c>
      <c r="F1124" s="289">
        <f t="shared" si="68"/>
        <v>4.5283445394597166E-3</v>
      </c>
    </row>
    <row r="1125" spans="2:6" hidden="1" outlineLevel="1" x14ac:dyDescent="0.25">
      <c r="B1125" s="291">
        <v>45279</v>
      </c>
      <c r="C1125">
        <v>78.129997000000003</v>
      </c>
      <c r="D1125" s="289">
        <f t="shared" si="68"/>
        <v>8.9673330506623294E-4</v>
      </c>
      <c r="E1125">
        <v>4768.3701170000004</v>
      </c>
      <c r="F1125" s="289">
        <f t="shared" si="68"/>
        <v>5.8664076931589371E-3</v>
      </c>
    </row>
    <row r="1126" spans="2:6" hidden="1" outlineLevel="1" x14ac:dyDescent="0.25">
      <c r="B1126" s="291">
        <v>45280</v>
      </c>
      <c r="C1126">
        <v>77.349997999999999</v>
      </c>
      <c r="D1126" s="289">
        <f t="shared" si="68"/>
        <v>-9.9833486490470413E-3</v>
      </c>
      <c r="E1126">
        <v>4698.3500979999999</v>
      </c>
      <c r="F1126" s="289">
        <f t="shared" si="68"/>
        <v>-1.4684266800173096E-2</v>
      </c>
    </row>
    <row r="1127" spans="2:6" hidden="1" outlineLevel="1" x14ac:dyDescent="0.25">
      <c r="B1127" s="291">
        <v>45281</v>
      </c>
      <c r="C1127">
        <v>77.910004000000001</v>
      </c>
      <c r="D1127" s="289">
        <f t="shared" si="68"/>
        <v>7.2398967612126164E-3</v>
      </c>
      <c r="E1127">
        <v>4746.75</v>
      </c>
      <c r="F1127" s="289">
        <f t="shared" si="68"/>
        <v>1.030146774728502E-2</v>
      </c>
    </row>
    <row r="1128" spans="2:6" hidden="1" outlineLevel="1" x14ac:dyDescent="0.25">
      <c r="B1128" s="291">
        <v>45282</v>
      </c>
      <c r="C1128">
        <v>78.5</v>
      </c>
      <c r="D1128" s="289">
        <f t="shared" si="68"/>
        <v>7.572788726849522E-3</v>
      </c>
      <c r="E1128">
        <v>4754.6298829999996</v>
      </c>
      <c r="F1128" s="289">
        <f t="shared" si="68"/>
        <v>1.6600585663875123E-3</v>
      </c>
    </row>
    <row r="1129" spans="2:6" hidden="1" outlineLevel="1" x14ac:dyDescent="0.25">
      <c r="B1129" s="291">
        <v>45286</v>
      </c>
      <c r="C1129">
        <v>79.040001000000004</v>
      </c>
      <c r="D1129" s="289">
        <f t="shared" si="68"/>
        <v>6.8789936305733157E-3</v>
      </c>
      <c r="E1129">
        <v>4774.75</v>
      </c>
      <c r="F1129" s="289">
        <f t="shared" si="68"/>
        <v>4.2316894259086801E-3</v>
      </c>
    </row>
    <row r="1130" spans="2:6" hidden="1" outlineLevel="1" x14ac:dyDescent="0.25">
      <c r="B1130" s="291">
        <v>45287</v>
      </c>
      <c r="C1130">
        <v>79.099997999999999</v>
      </c>
      <c r="D1130" s="289">
        <f t="shared" si="68"/>
        <v>7.5907134667163589E-4</v>
      </c>
      <c r="E1130">
        <v>4781.580078</v>
      </c>
      <c r="F1130" s="289">
        <f t="shared" si="68"/>
        <v>1.4304577202994828E-3</v>
      </c>
    </row>
    <row r="1131" spans="2:6" hidden="1" outlineLevel="1" x14ac:dyDescent="0.25">
      <c r="B1131" s="291">
        <v>45288</v>
      </c>
      <c r="C1131">
        <v>79.239998</v>
      </c>
      <c r="D1131" s="289">
        <f t="shared" si="68"/>
        <v>1.7699115491760509E-3</v>
      </c>
      <c r="E1131">
        <v>4783.3500979999999</v>
      </c>
      <c r="F1131" s="289">
        <f t="shared" si="68"/>
        <v>3.7017470608602387E-4</v>
      </c>
    </row>
    <row r="1132" spans="2:6" hidden="1" outlineLevel="1" x14ac:dyDescent="0.25">
      <c r="B1132" s="291">
        <v>45289</v>
      </c>
      <c r="C1132">
        <v>79.709998999999996</v>
      </c>
      <c r="D1132" s="289">
        <f t="shared" si="68"/>
        <v>5.9313605737345565E-3</v>
      </c>
      <c r="E1132">
        <v>4769.830078</v>
      </c>
      <c r="F1132" s="289">
        <f t="shared" si="68"/>
        <v>-2.8264751111679587E-3</v>
      </c>
    </row>
    <row r="1133" spans="2:6" hidden="1" outlineLevel="1" x14ac:dyDescent="0.25">
      <c r="B1133" s="291">
        <v>45293</v>
      </c>
      <c r="C1133">
        <v>80.720000999999996</v>
      </c>
      <c r="D1133" s="289">
        <f t="shared" si="68"/>
        <v>1.2670957378885461E-2</v>
      </c>
      <c r="E1133">
        <v>4742.830078</v>
      </c>
      <c r="F1133" s="289">
        <f t="shared" si="68"/>
        <v>-5.6605790056406535E-3</v>
      </c>
    </row>
    <row r="1134" spans="2:6" hidden="1" outlineLevel="1" x14ac:dyDescent="0.25">
      <c r="B1134" s="291">
        <v>45294</v>
      </c>
      <c r="C1134">
        <v>79.889999000000003</v>
      </c>
      <c r="D1134" s="289">
        <f t="shared" ref="D1134:F1149" si="69">C1134/C1133-1</f>
        <v>-1.0282482528710446E-2</v>
      </c>
      <c r="E1134">
        <v>4704.8100590000004</v>
      </c>
      <c r="F1134" s="289">
        <f t="shared" si="69"/>
        <v>-8.0163148109307913E-3</v>
      </c>
    </row>
    <row r="1135" spans="2:6" hidden="1" outlineLevel="1" x14ac:dyDescent="0.25">
      <c r="B1135" s="291">
        <v>45295</v>
      </c>
      <c r="C1135">
        <v>80.339995999999999</v>
      </c>
      <c r="D1135" s="289">
        <f t="shared" si="69"/>
        <v>5.6327075432807128E-3</v>
      </c>
      <c r="E1135">
        <v>4688.6801759999998</v>
      </c>
      <c r="F1135" s="289">
        <f t="shared" si="69"/>
        <v>-3.4283813369139216E-3</v>
      </c>
    </row>
    <row r="1136" spans="2:6" hidden="1" outlineLevel="1" x14ac:dyDescent="0.25">
      <c r="B1136" s="291">
        <v>45296</v>
      </c>
      <c r="C1136">
        <v>79.980002999999996</v>
      </c>
      <c r="D1136" s="289">
        <f t="shared" si="69"/>
        <v>-4.4808690306631371E-3</v>
      </c>
      <c r="E1136">
        <v>4697.2402339999999</v>
      </c>
      <c r="F1136" s="289">
        <f t="shared" si="69"/>
        <v>1.8256860520826645E-3</v>
      </c>
    </row>
    <row r="1137" spans="2:6" hidden="1" outlineLevel="1" x14ac:dyDescent="0.25">
      <c r="B1137" s="291">
        <v>45299</v>
      </c>
      <c r="C1137">
        <v>80.400002000000001</v>
      </c>
      <c r="D1137" s="289">
        <f t="shared" si="69"/>
        <v>5.2513001281082605E-3</v>
      </c>
      <c r="E1137">
        <v>4763.5400390000004</v>
      </c>
      <c r="F1137" s="289">
        <f t="shared" si="69"/>
        <v>1.4114629377501853E-2</v>
      </c>
    </row>
    <row r="1138" spans="2:6" hidden="1" outlineLevel="1" x14ac:dyDescent="0.25">
      <c r="B1138" s="291">
        <v>45300</v>
      </c>
      <c r="C1138">
        <v>80.819999999999993</v>
      </c>
      <c r="D1138" s="289">
        <f t="shared" si="69"/>
        <v>5.2238555914463358E-3</v>
      </c>
      <c r="E1138">
        <v>4756.5</v>
      </c>
      <c r="F1138" s="289">
        <f t="shared" si="69"/>
        <v>-1.477900666807086E-3</v>
      </c>
    </row>
    <row r="1139" spans="2:6" hidden="1" outlineLevel="1" x14ac:dyDescent="0.25">
      <c r="B1139" s="291">
        <v>45301</v>
      </c>
      <c r="C1139">
        <v>80.550003000000004</v>
      </c>
      <c r="D1139" s="289">
        <f t="shared" si="69"/>
        <v>-3.3407201187823921E-3</v>
      </c>
      <c r="E1139">
        <v>4783.4501950000003</v>
      </c>
      <c r="F1139" s="289">
        <f t="shared" si="69"/>
        <v>5.6659718280249738E-3</v>
      </c>
    </row>
    <row r="1140" spans="2:6" hidden="1" outlineLevel="1" x14ac:dyDescent="0.25">
      <c r="B1140" s="291">
        <v>45302</v>
      </c>
      <c r="C1140">
        <v>80.559997999999993</v>
      </c>
      <c r="D1140" s="289">
        <f t="shared" si="69"/>
        <v>1.2408441499367484E-4</v>
      </c>
      <c r="E1140">
        <v>4780.2402339999999</v>
      </c>
      <c r="F1140" s="289">
        <f t="shared" si="69"/>
        <v>-6.7105559149660543E-4</v>
      </c>
    </row>
    <row r="1141" spans="2:6" hidden="1" outlineLevel="1" x14ac:dyDescent="0.25">
      <c r="B1141" s="291">
        <v>45303</v>
      </c>
      <c r="C1141">
        <v>80.910004000000001</v>
      </c>
      <c r="D1141" s="289">
        <f t="shared" si="69"/>
        <v>4.3446624713174842E-3</v>
      </c>
      <c r="E1141">
        <v>4783.830078</v>
      </c>
      <c r="F1141" s="289">
        <f t="shared" si="69"/>
        <v>7.509756464678663E-4</v>
      </c>
    </row>
    <row r="1142" spans="2:6" hidden="1" outlineLevel="1" x14ac:dyDescent="0.25">
      <c r="B1142" s="291">
        <v>45307</v>
      </c>
      <c r="C1142">
        <v>80.430000000000007</v>
      </c>
      <c r="D1142" s="289">
        <f t="shared" si="69"/>
        <v>-5.932566756516211E-3</v>
      </c>
      <c r="E1142">
        <v>4765.9799800000001</v>
      </c>
      <c r="F1142" s="289">
        <f t="shared" si="69"/>
        <v>-3.7313403086972619E-3</v>
      </c>
    </row>
    <row r="1143" spans="2:6" hidden="1" outlineLevel="1" x14ac:dyDescent="0.25">
      <c r="B1143" s="291">
        <v>45308</v>
      </c>
      <c r="C1143">
        <v>80.959998999999996</v>
      </c>
      <c r="D1143" s="289">
        <f t="shared" si="69"/>
        <v>6.5895685689418837E-3</v>
      </c>
      <c r="E1143">
        <v>4739.2099609999996</v>
      </c>
      <c r="F1143" s="289">
        <f t="shared" si="69"/>
        <v>-5.6168970730758883E-3</v>
      </c>
    </row>
    <row r="1144" spans="2:6" hidden="1" outlineLevel="1" x14ac:dyDescent="0.25">
      <c r="B1144" s="291">
        <v>45309</v>
      </c>
      <c r="C1144">
        <v>80.830001999999993</v>
      </c>
      <c r="D1144" s="289">
        <f t="shared" si="69"/>
        <v>-1.6056941897937271E-3</v>
      </c>
      <c r="E1144">
        <v>4780.9399409999996</v>
      </c>
      <c r="F1144" s="289">
        <f t="shared" si="69"/>
        <v>8.8052608648709896E-3</v>
      </c>
    </row>
    <row r="1145" spans="2:6" hidden="1" outlineLevel="1" x14ac:dyDescent="0.25">
      <c r="B1145" s="291">
        <v>45310</v>
      </c>
      <c r="C1145">
        <v>80.379997000000003</v>
      </c>
      <c r="D1145" s="289">
        <f t="shared" si="69"/>
        <v>-5.5673016066483116E-3</v>
      </c>
      <c r="E1145">
        <v>4839.8100590000004</v>
      </c>
      <c r="F1145" s="289">
        <f t="shared" si="69"/>
        <v>1.2313502935928478E-2</v>
      </c>
    </row>
    <row r="1146" spans="2:6" hidden="1" outlineLevel="1" x14ac:dyDescent="0.25">
      <c r="B1146" s="291">
        <v>45313</v>
      </c>
      <c r="C1146">
        <v>80.419998000000007</v>
      </c>
      <c r="D1146" s="289">
        <f t="shared" si="69"/>
        <v>4.976486873966568E-4</v>
      </c>
      <c r="E1146">
        <v>4850.4301759999998</v>
      </c>
      <c r="F1146" s="289">
        <f t="shared" si="69"/>
        <v>2.1943251637015493E-3</v>
      </c>
    </row>
    <row r="1147" spans="2:6" hidden="1" outlineLevel="1" x14ac:dyDescent="0.25">
      <c r="B1147" s="291">
        <v>45314</v>
      </c>
      <c r="C1147">
        <v>81.410004000000001</v>
      </c>
      <c r="D1147" s="289">
        <f t="shared" si="69"/>
        <v>1.2310445469048581E-2</v>
      </c>
      <c r="E1147">
        <v>4864.6000979999999</v>
      </c>
      <c r="F1147" s="289">
        <f t="shared" si="69"/>
        <v>2.9213742876070814E-3</v>
      </c>
    </row>
    <row r="1148" spans="2:6" hidden="1" outlineLevel="1" x14ac:dyDescent="0.25">
      <c r="B1148" s="291">
        <v>45315</v>
      </c>
      <c r="C1148">
        <v>80.080001999999993</v>
      </c>
      <c r="D1148" s="289">
        <f t="shared" si="69"/>
        <v>-1.6337083093620919E-2</v>
      </c>
      <c r="E1148">
        <v>4868.5498049999997</v>
      </c>
      <c r="F1148" s="289">
        <f t="shared" si="69"/>
        <v>8.119284053016429E-4</v>
      </c>
    </row>
    <row r="1149" spans="2:6" hidden="1" outlineLevel="1" x14ac:dyDescent="0.25">
      <c r="B1149" s="291">
        <v>45316</v>
      </c>
      <c r="C1149">
        <v>81.220000999999996</v>
      </c>
      <c r="D1149" s="289">
        <f t="shared" si="69"/>
        <v>1.4235751392713603E-2</v>
      </c>
      <c r="E1149">
        <v>4894.1601559999999</v>
      </c>
      <c r="F1149" s="289">
        <f t="shared" si="69"/>
        <v>5.2603654118312804E-3</v>
      </c>
    </row>
    <row r="1150" spans="2:6" hidden="1" outlineLevel="1" x14ac:dyDescent="0.25">
      <c r="B1150" s="291">
        <v>45317</v>
      </c>
      <c r="C1150">
        <v>82.830001999999993</v>
      </c>
      <c r="D1150" s="289">
        <f t="shared" ref="D1150:F1165" si="70">C1150/C1149-1</f>
        <v>1.9822715835721372E-2</v>
      </c>
      <c r="E1150">
        <v>4890.9702150000003</v>
      </c>
      <c r="F1150" s="289">
        <f t="shared" si="70"/>
        <v>-6.5178516810260323E-4</v>
      </c>
    </row>
    <row r="1151" spans="2:6" hidden="1" outlineLevel="1" x14ac:dyDescent="0.25">
      <c r="B1151" s="291">
        <v>45320</v>
      </c>
      <c r="C1151">
        <v>83.959998999999996</v>
      </c>
      <c r="D1151" s="289">
        <f t="shared" si="70"/>
        <v>1.3642363548415748E-2</v>
      </c>
      <c r="E1151">
        <v>4927.9301759999998</v>
      </c>
      <c r="F1151" s="289">
        <f t="shared" si="70"/>
        <v>7.5567749087182001E-3</v>
      </c>
    </row>
    <row r="1152" spans="2:6" hidden="1" outlineLevel="1" x14ac:dyDescent="0.25">
      <c r="B1152" s="291">
        <v>45321</v>
      </c>
      <c r="C1152">
        <v>84.230002999999996</v>
      </c>
      <c r="D1152" s="289">
        <f t="shared" si="70"/>
        <v>3.2158647357773962E-3</v>
      </c>
      <c r="E1152">
        <v>4924.9702150000003</v>
      </c>
      <c r="F1152" s="289">
        <f t="shared" si="70"/>
        <v>-6.0064994719588594E-4</v>
      </c>
    </row>
    <row r="1153" spans="2:6" hidden="1" outlineLevel="1" x14ac:dyDescent="0.25">
      <c r="B1153" s="291">
        <v>45322</v>
      </c>
      <c r="C1153">
        <v>84.199996999999996</v>
      </c>
      <c r="D1153" s="289">
        <f t="shared" si="70"/>
        <v>-3.5623885707325442E-4</v>
      </c>
      <c r="E1153">
        <v>4845.6499020000001</v>
      </c>
      <c r="F1153" s="289">
        <f t="shared" si="70"/>
        <v>-1.6105744712610393E-2</v>
      </c>
    </row>
    <row r="1154" spans="2:6" hidden="1" outlineLevel="1" x14ac:dyDescent="0.25">
      <c r="B1154" s="291">
        <v>45323</v>
      </c>
      <c r="C1154">
        <v>86.120002999999997</v>
      </c>
      <c r="D1154" s="289">
        <f t="shared" si="70"/>
        <v>2.2802922427657579E-2</v>
      </c>
      <c r="E1154">
        <v>4906.1899409999996</v>
      </c>
      <c r="F1154" s="289">
        <f t="shared" si="70"/>
        <v>1.2493688199597841E-2</v>
      </c>
    </row>
    <row r="1155" spans="2:6" hidden="1" outlineLevel="1" x14ac:dyDescent="0.25">
      <c r="B1155" s="291">
        <v>45324</v>
      </c>
      <c r="C1155">
        <v>84.620002999999997</v>
      </c>
      <c r="D1155" s="289">
        <f t="shared" si="70"/>
        <v>-1.7417556290609926E-2</v>
      </c>
      <c r="E1155">
        <v>4958.6098629999997</v>
      </c>
      <c r="F1155" s="289">
        <f t="shared" si="70"/>
        <v>1.0684446103877532E-2</v>
      </c>
    </row>
    <row r="1156" spans="2:6" hidden="1" outlineLevel="1" x14ac:dyDescent="0.25">
      <c r="B1156" s="291">
        <v>45327</v>
      </c>
      <c r="C1156">
        <v>84.089995999999999</v>
      </c>
      <c r="D1156" s="289">
        <f t="shared" si="70"/>
        <v>-6.2633772300858537E-3</v>
      </c>
      <c r="E1156">
        <v>4942.8100590000004</v>
      </c>
      <c r="F1156" s="289">
        <f t="shared" si="70"/>
        <v>-3.1863373882050627E-3</v>
      </c>
    </row>
    <row r="1157" spans="2:6" hidden="1" outlineLevel="1" x14ac:dyDescent="0.25">
      <c r="B1157" s="291">
        <v>45328</v>
      </c>
      <c r="C1157">
        <v>83.739998</v>
      </c>
      <c r="D1157" s="289">
        <f t="shared" si="70"/>
        <v>-4.1621835729425127E-3</v>
      </c>
      <c r="E1157">
        <v>4954.2299800000001</v>
      </c>
      <c r="F1157" s="289">
        <f t="shared" si="70"/>
        <v>2.3104106497489063E-3</v>
      </c>
    </row>
    <row r="1158" spans="2:6" hidden="1" outlineLevel="1" x14ac:dyDescent="0.25">
      <c r="B1158" s="291">
        <v>45329</v>
      </c>
      <c r="C1158">
        <v>83.860000999999997</v>
      </c>
      <c r="D1158" s="289">
        <f t="shared" si="70"/>
        <v>1.4330427855993033E-3</v>
      </c>
      <c r="E1158">
        <v>4995.0600590000004</v>
      </c>
      <c r="F1158" s="289">
        <f t="shared" si="70"/>
        <v>8.2414581407865839E-3</v>
      </c>
    </row>
    <row r="1159" spans="2:6" hidden="1" outlineLevel="1" x14ac:dyDescent="0.25">
      <c r="B1159" s="291">
        <v>45330</v>
      </c>
      <c r="C1159">
        <v>84.260002</v>
      </c>
      <c r="D1159" s="289">
        <f t="shared" si="70"/>
        <v>4.7698663871946767E-3</v>
      </c>
      <c r="E1159">
        <v>4997.9101559999999</v>
      </c>
      <c r="F1159" s="289">
        <f t="shared" si="70"/>
        <v>5.705831293989494E-4</v>
      </c>
    </row>
    <row r="1160" spans="2:6" hidden="1" outlineLevel="1" x14ac:dyDescent="0.25">
      <c r="B1160" s="291">
        <v>45331</v>
      </c>
      <c r="C1160">
        <v>83.459998999999996</v>
      </c>
      <c r="D1160" s="289">
        <f t="shared" si="70"/>
        <v>-9.4944574057808095E-3</v>
      </c>
      <c r="E1160">
        <v>5026.6098629999997</v>
      </c>
      <c r="F1160" s="289">
        <f t="shared" si="70"/>
        <v>5.7423415195940741E-3</v>
      </c>
    </row>
    <row r="1161" spans="2:6" hidden="1" outlineLevel="1" x14ac:dyDescent="0.25">
      <c r="B1161" s="291">
        <v>45334</v>
      </c>
      <c r="C1161">
        <v>83.559997999999993</v>
      </c>
      <c r="D1161" s="289">
        <f t="shared" si="70"/>
        <v>1.1981668008407276E-3</v>
      </c>
      <c r="E1161">
        <v>5021.8398440000001</v>
      </c>
      <c r="F1161" s="289">
        <f t="shared" si="70"/>
        <v>-9.4895349549817265E-4</v>
      </c>
    </row>
    <row r="1162" spans="2:6" hidden="1" outlineLevel="1" x14ac:dyDescent="0.25">
      <c r="B1162" s="291">
        <v>45335</v>
      </c>
      <c r="C1162">
        <v>83.470000999999996</v>
      </c>
      <c r="D1162" s="289">
        <f t="shared" si="70"/>
        <v>-1.0770344920304487E-3</v>
      </c>
      <c r="E1162">
        <v>4953.169922</v>
      </c>
      <c r="F1162" s="289">
        <f t="shared" si="70"/>
        <v>-1.3674255677835978E-2</v>
      </c>
    </row>
    <row r="1163" spans="2:6" hidden="1" outlineLevel="1" x14ac:dyDescent="0.25">
      <c r="B1163" s="291">
        <v>45336</v>
      </c>
      <c r="C1163">
        <v>83.709998999999996</v>
      </c>
      <c r="D1163" s="289">
        <f t="shared" si="70"/>
        <v>2.8752605382142971E-3</v>
      </c>
      <c r="E1163">
        <v>5000.6201170000004</v>
      </c>
      <c r="F1163" s="289">
        <f t="shared" si="70"/>
        <v>9.5797632116849663E-3</v>
      </c>
    </row>
    <row r="1164" spans="2:6" hidden="1" outlineLevel="1" x14ac:dyDescent="0.25">
      <c r="B1164" s="291">
        <v>45337</v>
      </c>
      <c r="C1164">
        <v>83.57</v>
      </c>
      <c r="D1164" s="289">
        <f t="shared" si="70"/>
        <v>-1.6724286426046397E-3</v>
      </c>
      <c r="E1164">
        <v>5029.7299800000001</v>
      </c>
      <c r="F1164" s="289">
        <f t="shared" si="70"/>
        <v>5.821250628704755E-3</v>
      </c>
    </row>
    <row r="1165" spans="2:6" hidden="1" outlineLevel="1" x14ac:dyDescent="0.25">
      <c r="B1165" s="291">
        <v>45338</v>
      </c>
      <c r="C1165">
        <v>83.480002999999996</v>
      </c>
      <c r="D1165" s="289">
        <f t="shared" si="70"/>
        <v>-1.076905588129673E-3</v>
      </c>
      <c r="E1165">
        <v>5005.5698240000002</v>
      </c>
      <c r="F1165" s="289">
        <f t="shared" si="70"/>
        <v>-4.8034697878552857E-3</v>
      </c>
    </row>
    <row r="1166" spans="2:6" hidden="1" outlineLevel="1" x14ac:dyDescent="0.25">
      <c r="B1166" s="291">
        <v>45342</v>
      </c>
      <c r="C1166">
        <v>84.610000999999997</v>
      </c>
      <c r="D1166" s="289">
        <f t="shared" ref="D1166:F1181" si="71">C1166/C1165-1</f>
        <v>1.3536151885380265E-2</v>
      </c>
      <c r="E1166">
        <v>4975.5097660000001</v>
      </c>
      <c r="F1166" s="289">
        <f t="shared" si="71"/>
        <v>-6.0053218828098887E-3</v>
      </c>
    </row>
    <row r="1167" spans="2:6" hidden="1" outlineLevel="1" x14ac:dyDescent="0.25">
      <c r="B1167" s="291">
        <v>45343</v>
      </c>
      <c r="C1167">
        <v>85.309997999999993</v>
      </c>
      <c r="D1167" s="289">
        <f t="shared" si="71"/>
        <v>8.2732181979290331E-3</v>
      </c>
      <c r="E1167">
        <v>4981.7998049999997</v>
      </c>
      <c r="F1167" s="289">
        <f t="shared" si="71"/>
        <v>1.2641999103253365E-3</v>
      </c>
    </row>
    <row r="1168" spans="2:6" hidden="1" outlineLevel="1" x14ac:dyDescent="0.25">
      <c r="B1168" s="291">
        <v>45344</v>
      </c>
      <c r="C1168">
        <v>86</v>
      </c>
      <c r="D1168" s="289">
        <f t="shared" si="71"/>
        <v>8.0881727367994039E-3</v>
      </c>
      <c r="E1168">
        <v>5087.0297849999997</v>
      </c>
      <c r="F1168" s="289">
        <f t="shared" si="71"/>
        <v>2.1122884121996588E-2</v>
      </c>
    </row>
    <row r="1169" spans="2:6" hidden="1" outlineLevel="1" x14ac:dyDescent="0.25">
      <c r="B1169" s="291">
        <v>45345</v>
      </c>
      <c r="C1169">
        <v>86.25</v>
      </c>
      <c r="D1169" s="289">
        <f t="shared" si="71"/>
        <v>2.9069767441860517E-3</v>
      </c>
      <c r="E1169">
        <v>5088.7998049999997</v>
      </c>
      <c r="F1169" s="289">
        <f t="shared" si="71"/>
        <v>3.4794763836831777E-4</v>
      </c>
    </row>
    <row r="1170" spans="2:6" hidden="1" outlineLevel="1" x14ac:dyDescent="0.25">
      <c r="B1170" s="291">
        <v>45348</v>
      </c>
      <c r="C1170">
        <v>86.150002000000001</v>
      </c>
      <c r="D1170" s="289">
        <f t="shared" si="71"/>
        <v>-1.1593971014492999E-3</v>
      </c>
      <c r="E1170">
        <v>5069.5297849999997</v>
      </c>
      <c r="F1170" s="289">
        <f t="shared" si="71"/>
        <v>-3.7867514420720783E-3</v>
      </c>
    </row>
    <row r="1171" spans="2:6" hidden="1" outlineLevel="1" x14ac:dyDescent="0.25">
      <c r="B1171" s="291">
        <v>45349</v>
      </c>
      <c r="C1171">
        <v>86.410004000000001</v>
      </c>
      <c r="D1171" s="289">
        <f t="shared" si="71"/>
        <v>3.0180150198952926E-3</v>
      </c>
      <c r="E1171">
        <v>5078.1801759999998</v>
      </c>
      <c r="F1171" s="289">
        <f t="shared" si="71"/>
        <v>1.7063497734237654E-3</v>
      </c>
    </row>
    <row r="1172" spans="2:6" hidden="1" outlineLevel="1" x14ac:dyDescent="0.25">
      <c r="B1172" s="291">
        <v>45350</v>
      </c>
      <c r="C1172">
        <v>86.809997999999993</v>
      </c>
      <c r="D1172" s="289">
        <f t="shared" si="71"/>
        <v>4.6290242041882035E-3</v>
      </c>
      <c r="E1172">
        <v>5069.7597660000001</v>
      </c>
      <c r="F1172" s="289">
        <f t="shared" si="71"/>
        <v>-1.6581550295902137E-3</v>
      </c>
    </row>
    <row r="1173" spans="2:6" hidden="1" outlineLevel="1" x14ac:dyDescent="0.25">
      <c r="B1173" s="291">
        <v>45351</v>
      </c>
      <c r="C1173">
        <v>86.519997000000004</v>
      </c>
      <c r="D1173" s="289">
        <f t="shared" si="71"/>
        <v>-3.3406405561717811E-3</v>
      </c>
      <c r="E1173">
        <v>5096.2700199999999</v>
      </c>
      <c r="F1173" s="289">
        <f t="shared" si="71"/>
        <v>5.2290947152544565E-3</v>
      </c>
    </row>
    <row r="1174" spans="2:6" hidden="1" outlineLevel="1" x14ac:dyDescent="0.25">
      <c r="B1174" s="291">
        <v>45352</v>
      </c>
      <c r="C1174">
        <v>86.489998</v>
      </c>
      <c r="D1174" s="289">
        <f t="shared" si="71"/>
        <v>-3.467290920040611E-4</v>
      </c>
      <c r="E1174">
        <v>5137.080078</v>
      </c>
      <c r="F1174" s="289">
        <f t="shared" si="71"/>
        <v>8.0078288316443036E-3</v>
      </c>
    </row>
    <row r="1175" spans="2:6" hidden="1" outlineLevel="1" x14ac:dyDescent="0.25">
      <c r="B1175" s="291">
        <v>45355</v>
      </c>
      <c r="C1175">
        <v>86.830001999999993</v>
      </c>
      <c r="D1175" s="289">
        <f t="shared" si="71"/>
        <v>3.9311366384815472E-3</v>
      </c>
      <c r="E1175">
        <v>5130.9501950000003</v>
      </c>
      <c r="F1175" s="289">
        <f t="shared" si="71"/>
        <v>-1.1932621074473015E-3</v>
      </c>
    </row>
    <row r="1176" spans="2:6" hidden="1" outlineLevel="1" x14ac:dyDescent="0.25">
      <c r="B1176" s="291">
        <v>45356</v>
      </c>
      <c r="C1176">
        <v>86.730002999999996</v>
      </c>
      <c r="D1176" s="289">
        <f t="shared" si="71"/>
        <v>-1.151664144842468E-3</v>
      </c>
      <c r="E1176">
        <v>5078.6499020000001</v>
      </c>
      <c r="F1176" s="289">
        <f t="shared" si="71"/>
        <v>-1.0193100890155904E-2</v>
      </c>
    </row>
    <row r="1177" spans="2:6" hidden="1" outlineLevel="1" x14ac:dyDescent="0.25">
      <c r="B1177" s="291">
        <v>45357</v>
      </c>
      <c r="C1177">
        <v>87.18</v>
      </c>
      <c r="D1177" s="289">
        <f t="shared" si="71"/>
        <v>5.188481314822635E-3</v>
      </c>
      <c r="E1177">
        <v>5104.7597660000001</v>
      </c>
      <c r="F1177" s="289">
        <f t="shared" si="71"/>
        <v>5.1411033451465027E-3</v>
      </c>
    </row>
    <row r="1178" spans="2:6" hidden="1" outlineLevel="1" x14ac:dyDescent="0.25">
      <c r="B1178" s="291">
        <v>45358</v>
      </c>
      <c r="C1178">
        <v>88.139999000000003</v>
      </c>
      <c r="D1178" s="289">
        <f t="shared" si="71"/>
        <v>1.1011688460656144E-2</v>
      </c>
      <c r="E1178">
        <v>5157.3598629999997</v>
      </c>
      <c r="F1178" s="289">
        <f t="shared" si="71"/>
        <v>1.030412779663803E-2</v>
      </c>
    </row>
    <row r="1179" spans="2:6" hidden="1" outlineLevel="1" x14ac:dyDescent="0.25">
      <c r="B1179" s="291">
        <v>45359</v>
      </c>
      <c r="C1179">
        <v>88.07</v>
      </c>
      <c r="D1179" s="289">
        <f t="shared" si="71"/>
        <v>-7.9417972310180662E-4</v>
      </c>
      <c r="E1179">
        <v>5123.6899409999996</v>
      </c>
      <c r="F1179" s="289">
        <f t="shared" si="71"/>
        <v>-6.5285190280311989E-3</v>
      </c>
    </row>
    <row r="1180" spans="2:6" hidden="1" outlineLevel="1" x14ac:dyDescent="0.25">
      <c r="B1180" s="291">
        <v>45362</v>
      </c>
      <c r="C1180">
        <v>88.129997000000003</v>
      </c>
      <c r="D1180" s="289">
        <f t="shared" si="71"/>
        <v>6.8124219370968575E-4</v>
      </c>
      <c r="E1180">
        <v>5117.9399409999996</v>
      </c>
      <c r="F1180" s="289">
        <f t="shared" si="71"/>
        <v>-1.1222380874353899E-3</v>
      </c>
    </row>
    <row r="1181" spans="2:6" hidden="1" outlineLevel="1" x14ac:dyDescent="0.25">
      <c r="B1181" s="291">
        <v>45363</v>
      </c>
      <c r="C1181">
        <v>88.760002</v>
      </c>
      <c r="D1181" s="289">
        <f t="shared" si="71"/>
        <v>7.1485875575372226E-3</v>
      </c>
      <c r="E1181">
        <v>5175.2700199999999</v>
      </c>
      <c r="F1181" s="289">
        <f t="shared" si="71"/>
        <v>1.1201788153222925E-2</v>
      </c>
    </row>
    <row r="1182" spans="2:6" hidden="1" outlineLevel="1" x14ac:dyDescent="0.25">
      <c r="B1182" s="291">
        <v>45364</v>
      </c>
      <c r="C1182">
        <v>89.199996999999996</v>
      </c>
      <c r="D1182" s="289">
        <f t="shared" ref="D1182:F1197" si="72">C1182/C1181-1</f>
        <v>4.9571314791092558E-3</v>
      </c>
      <c r="E1182">
        <v>5165.3100590000004</v>
      </c>
      <c r="F1182" s="289">
        <f t="shared" si="72"/>
        <v>-1.9245297272429962E-3</v>
      </c>
    </row>
    <row r="1183" spans="2:6" hidden="1" outlineLevel="1" x14ac:dyDescent="0.25">
      <c r="B1183" s="291">
        <v>45365</v>
      </c>
      <c r="C1183">
        <v>88.349997999999999</v>
      </c>
      <c r="D1183" s="289">
        <f t="shared" si="72"/>
        <v>-9.5291370917870433E-3</v>
      </c>
      <c r="E1183">
        <v>5150.4799800000001</v>
      </c>
      <c r="F1183" s="289">
        <f t="shared" si="72"/>
        <v>-2.8710917313009565E-3</v>
      </c>
    </row>
    <row r="1184" spans="2:6" hidden="1" outlineLevel="1" x14ac:dyDescent="0.25">
      <c r="B1184" s="291">
        <v>45366</v>
      </c>
      <c r="C1184">
        <v>88.449996999999996</v>
      </c>
      <c r="D1184" s="289">
        <f t="shared" si="72"/>
        <v>1.1318506198494394E-3</v>
      </c>
      <c r="E1184">
        <v>5117.0898440000001</v>
      </c>
      <c r="F1184" s="289">
        <f t="shared" si="72"/>
        <v>-6.4829173455014377E-3</v>
      </c>
    </row>
    <row r="1185" spans="2:6" hidden="1" outlineLevel="1" x14ac:dyDescent="0.25">
      <c r="B1185" s="291">
        <v>45369</v>
      </c>
      <c r="C1185">
        <v>88.269997000000004</v>
      </c>
      <c r="D1185" s="289">
        <f t="shared" si="72"/>
        <v>-2.0350481187692004E-3</v>
      </c>
      <c r="E1185">
        <v>5149.419922</v>
      </c>
      <c r="F1185" s="289">
        <f t="shared" si="72"/>
        <v>6.3180594802156875E-3</v>
      </c>
    </row>
    <row r="1186" spans="2:6" hidden="1" outlineLevel="1" x14ac:dyDescent="0.25">
      <c r="B1186" s="291">
        <v>45370</v>
      </c>
      <c r="C1186">
        <v>88.769997000000004</v>
      </c>
      <c r="D1186" s="289">
        <f t="shared" si="72"/>
        <v>5.6644388466444706E-3</v>
      </c>
      <c r="E1186">
        <v>5178.5097660000001</v>
      </c>
      <c r="F1186" s="289">
        <f t="shared" si="72"/>
        <v>5.6491496985358047E-3</v>
      </c>
    </row>
    <row r="1187" spans="2:6" hidden="1" outlineLevel="1" x14ac:dyDescent="0.25">
      <c r="B1187" s="291">
        <v>45371</v>
      </c>
      <c r="C1187">
        <v>88.349997999999999</v>
      </c>
      <c r="D1187" s="289">
        <f t="shared" si="72"/>
        <v>-4.7313170462313092E-3</v>
      </c>
      <c r="E1187">
        <v>5224.6201170000004</v>
      </c>
      <c r="F1187" s="289">
        <f t="shared" si="72"/>
        <v>8.9041738035799955E-3</v>
      </c>
    </row>
    <row r="1188" spans="2:6" hidden="1" outlineLevel="1" x14ac:dyDescent="0.25">
      <c r="B1188" s="291">
        <v>45372</v>
      </c>
      <c r="C1188">
        <v>88.769997000000004</v>
      </c>
      <c r="D1188" s="289">
        <f t="shared" si="72"/>
        <v>4.7538088229499564E-3</v>
      </c>
      <c r="E1188">
        <v>5241.5297849999997</v>
      </c>
      <c r="F1188" s="289">
        <f t="shared" si="72"/>
        <v>3.2365354076133723E-3</v>
      </c>
    </row>
    <row r="1189" spans="2:6" hidden="1" outlineLevel="1" x14ac:dyDescent="0.25">
      <c r="B1189" s="291">
        <v>45373</v>
      </c>
      <c r="C1189">
        <v>89.199996999999996</v>
      </c>
      <c r="D1189" s="289">
        <f t="shared" si="72"/>
        <v>4.8439789853771398E-3</v>
      </c>
      <c r="E1189">
        <v>5234.1801759999998</v>
      </c>
      <c r="F1189" s="289">
        <f t="shared" si="72"/>
        <v>-1.4021877775134417E-3</v>
      </c>
    </row>
    <row r="1190" spans="2:6" hidden="1" outlineLevel="1" x14ac:dyDescent="0.25">
      <c r="B1190" s="291">
        <v>45376</v>
      </c>
      <c r="C1190">
        <v>88.639999000000003</v>
      </c>
      <c r="D1190" s="289">
        <f t="shared" si="72"/>
        <v>-6.2780046954484803E-3</v>
      </c>
      <c r="E1190">
        <v>5218.1899409999996</v>
      </c>
      <c r="F1190" s="289">
        <f t="shared" si="72"/>
        <v>-3.0549645717813378E-3</v>
      </c>
    </row>
    <row r="1191" spans="2:6" hidden="1" outlineLevel="1" x14ac:dyDescent="0.25">
      <c r="B1191" s="291">
        <v>45377</v>
      </c>
      <c r="C1191">
        <v>88.900002000000001</v>
      </c>
      <c r="D1191" s="289">
        <f t="shared" si="72"/>
        <v>2.9332468742468976E-3</v>
      </c>
      <c r="E1191">
        <v>5203.580078</v>
      </c>
      <c r="F1191" s="289">
        <f t="shared" si="72"/>
        <v>-2.7997951713500946E-3</v>
      </c>
    </row>
    <row r="1192" spans="2:6" hidden="1" outlineLevel="1" x14ac:dyDescent="0.25">
      <c r="B1192" s="291">
        <v>45378</v>
      </c>
      <c r="C1192">
        <v>89.949996999999996</v>
      </c>
      <c r="D1192" s="289">
        <f t="shared" si="72"/>
        <v>1.1810967113363935E-2</v>
      </c>
      <c r="E1192">
        <v>5248.4902339999999</v>
      </c>
      <c r="F1192" s="289">
        <f t="shared" si="72"/>
        <v>8.6306264776963015E-3</v>
      </c>
    </row>
    <row r="1193" spans="2:6" hidden="1" outlineLevel="1" x14ac:dyDescent="0.25">
      <c r="B1193" s="291">
        <v>45379</v>
      </c>
      <c r="C1193">
        <v>90.050003000000004</v>
      </c>
      <c r="D1193" s="289">
        <f t="shared" si="72"/>
        <v>1.1117954789927609E-3</v>
      </c>
      <c r="E1193">
        <v>5254.3500979999999</v>
      </c>
      <c r="F1193" s="289">
        <f t="shared" si="72"/>
        <v>1.1164856442029691E-3</v>
      </c>
    </row>
    <row r="1194" spans="2:6" hidden="1" outlineLevel="1" x14ac:dyDescent="0.25">
      <c r="B1194" s="291">
        <v>45383</v>
      </c>
      <c r="C1194">
        <v>89.059997999999993</v>
      </c>
      <c r="D1194" s="289">
        <f t="shared" si="72"/>
        <v>-1.0993947440512741E-2</v>
      </c>
      <c r="E1194">
        <v>5243.7700199999999</v>
      </c>
      <c r="F1194" s="289">
        <f t="shared" si="72"/>
        <v>-2.0135845161949328E-3</v>
      </c>
    </row>
    <row r="1195" spans="2:6" hidden="1" outlineLevel="1" x14ac:dyDescent="0.25">
      <c r="B1195" s="291">
        <v>45384</v>
      </c>
      <c r="C1195">
        <v>89.059997999999993</v>
      </c>
      <c r="D1195" s="289">
        <f t="shared" si="72"/>
        <v>0</v>
      </c>
      <c r="E1195">
        <v>5205.8100590000004</v>
      </c>
      <c r="F1195" s="289">
        <f t="shared" si="72"/>
        <v>-7.2390590844408909E-3</v>
      </c>
    </row>
    <row r="1196" spans="2:6" hidden="1" outlineLevel="1" x14ac:dyDescent="0.25">
      <c r="B1196" s="291">
        <v>45385</v>
      </c>
      <c r="C1196">
        <v>88.099997999999999</v>
      </c>
      <c r="D1196" s="289">
        <f t="shared" si="72"/>
        <v>-1.0779250185925182E-2</v>
      </c>
      <c r="E1196">
        <v>5211.4902339999999</v>
      </c>
      <c r="F1196" s="289">
        <f t="shared" si="72"/>
        <v>1.0911222145302268E-3</v>
      </c>
    </row>
    <row r="1197" spans="2:6" hidden="1" outlineLevel="1" x14ac:dyDescent="0.25">
      <c r="B1197" s="291">
        <v>45386</v>
      </c>
      <c r="C1197">
        <v>87.400002000000001</v>
      </c>
      <c r="D1197" s="289">
        <f t="shared" si="72"/>
        <v>-7.9454712359925406E-3</v>
      </c>
      <c r="E1197">
        <v>5147.2099609999996</v>
      </c>
      <c r="F1197" s="289">
        <f t="shared" si="72"/>
        <v>-1.2334336267318058E-2</v>
      </c>
    </row>
    <row r="1198" spans="2:6" hidden="1" outlineLevel="1" x14ac:dyDescent="0.25">
      <c r="B1198" s="291">
        <v>45387</v>
      </c>
      <c r="C1198">
        <v>87.879997000000003</v>
      </c>
      <c r="D1198" s="289">
        <f t="shared" ref="D1198:F1213" si="73">C1198/C1197-1</f>
        <v>5.4919335127703306E-3</v>
      </c>
      <c r="E1198">
        <v>5204.3398440000001</v>
      </c>
      <c r="F1198" s="289">
        <f t="shared" si="73"/>
        <v>1.1099194210624663E-2</v>
      </c>
    </row>
    <row r="1199" spans="2:6" hidden="1" outlineLevel="1" x14ac:dyDescent="0.25">
      <c r="B1199" s="291">
        <v>45390</v>
      </c>
      <c r="C1199">
        <v>87.720000999999996</v>
      </c>
      <c r="D1199" s="289">
        <f t="shared" si="73"/>
        <v>-1.8206190880958317E-3</v>
      </c>
      <c r="E1199">
        <v>5202.3901370000003</v>
      </c>
      <c r="F1199" s="289">
        <f t="shared" si="73"/>
        <v>-3.746309922952884E-4</v>
      </c>
    </row>
    <row r="1200" spans="2:6" hidden="1" outlineLevel="1" x14ac:dyDescent="0.25">
      <c r="B1200" s="291">
        <v>45391</v>
      </c>
      <c r="C1200">
        <v>87.650002000000001</v>
      </c>
      <c r="D1200" s="289">
        <f t="shared" si="73"/>
        <v>-7.9798220704530021E-4</v>
      </c>
      <c r="E1200">
        <v>5209.9101559999999</v>
      </c>
      <c r="F1200" s="289">
        <f t="shared" si="73"/>
        <v>1.4454930910536845E-3</v>
      </c>
    </row>
    <row r="1201" spans="2:6" hidden="1" outlineLevel="1" x14ac:dyDescent="0.25">
      <c r="B1201" s="291">
        <v>45392</v>
      </c>
      <c r="C1201">
        <v>86.559997999999993</v>
      </c>
      <c r="D1201" s="289">
        <f t="shared" si="73"/>
        <v>-1.2435869653488529E-2</v>
      </c>
      <c r="E1201">
        <v>5160.6401370000003</v>
      </c>
      <c r="F1201" s="289">
        <f t="shared" si="73"/>
        <v>-9.4569805475930302E-3</v>
      </c>
    </row>
    <row r="1202" spans="2:6" hidden="1" outlineLevel="1" x14ac:dyDescent="0.25">
      <c r="B1202" s="291">
        <v>45393</v>
      </c>
      <c r="C1202">
        <v>86</v>
      </c>
      <c r="D1202" s="289">
        <f t="shared" si="73"/>
        <v>-6.4694779683335257E-3</v>
      </c>
      <c r="E1202">
        <v>5199.0600590000004</v>
      </c>
      <c r="F1202" s="289">
        <f t="shared" si="73"/>
        <v>7.4447977344016536E-3</v>
      </c>
    </row>
    <row r="1203" spans="2:6" hidden="1" outlineLevel="1" x14ac:dyDescent="0.25">
      <c r="B1203" s="291">
        <v>45394</v>
      </c>
      <c r="C1203">
        <v>85.849997999999999</v>
      </c>
      <c r="D1203" s="289">
        <f t="shared" si="73"/>
        <v>-1.74420930232555E-3</v>
      </c>
      <c r="E1203">
        <v>5123.4101559999999</v>
      </c>
      <c r="F1203" s="289">
        <f t="shared" si="73"/>
        <v>-1.4550688420889468E-2</v>
      </c>
    </row>
    <row r="1204" spans="2:6" hidden="1" outlineLevel="1" x14ac:dyDescent="0.25">
      <c r="B1204" s="291">
        <v>45397</v>
      </c>
      <c r="C1204">
        <v>86.169998000000007</v>
      </c>
      <c r="D1204" s="289">
        <f t="shared" si="73"/>
        <v>3.7274316535220731E-3</v>
      </c>
      <c r="E1204">
        <v>5061.8198240000002</v>
      </c>
      <c r="F1204" s="289">
        <f t="shared" si="73"/>
        <v>-1.2021354942249096E-2</v>
      </c>
    </row>
    <row r="1205" spans="2:6" hidden="1" outlineLevel="1" x14ac:dyDescent="0.25">
      <c r="B1205" s="291">
        <v>45398</v>
      </c>
      <c r="C1205">
        <v>86.169998000000007</v>
      </c>
      <c r="D1205" s="289">
        <f t="shared" si="73"/>
        <v>0</v>
      </c>
      <c r="E1205">
        <v>5051.4101559999999</v>
      </c>
      <c r="F1205" s="289">
        <f t="shared" si="73"/>
        <v>-2.0565070195988078E-3</v>
      </c>
    </row>
    <row r="1206" spans="2:6" hidden="1" outlineLevel="1" x14ac:dyDescent="0.25">
      <c r="B1206" s="291">
        <v>45399</v>
      </c>
      <c r="C1206">
        <v>86.75</v>
      </c>
      <c r="D1206" s="289">
        <f t="shared" si="73"/>
        <v>6.7309041831473682E-3</v>
      </c>
      <c r="E1206">
        <v>5022.2099609999996</v>
      </c>
      <c r="F1206" s="289">
        <f t="shared" si="73"/>
        <v>-5.7806026630636831E-3</v>
      </c>
    </row>
    <row r="1207" spans="2:6" hidden="1" outlineLevel="1" x14ac:dyDescent="0.25">
      <c r="B1207" s="291">
        <v>45400</v>
      </c>
      <c r="C1207">
        <v>86.709998999999996</v>
      </c>
      <c r="D1207" s="289">
        <f t="shared" si="73"/>
        <v>-4.6110662824216941E-4</v>
      </c>
      <c r="E1207">
        <v>5011.1201170000004</v>
      </c>
      <c r="F1207" s="289">
        <f t="shared" si="73"/>
        <v>-2.2081601697494513E-3</v>
      </c>
    </row>
    <row r="1208" spans="2:6" hidden="1" outlineLevel="1" x14ac:dyDescent="0.25">
      <c r="B1208" s="291">
        <v>45401</v>
      </c>
      <c r="C1208">
        <v>87.129997000000003</v>
      </c>
      <c r="D1208" s="289">
        <f t="shared" si="73"/>
        <v>4.8437089706345748E-3</v>
      </c>
      <c r="E1208">
        <v>4967.2299800000001</v>
      </c>
      <c r="F1208" s="289">
        <f t="shared" si="73"/>
        <v>-8.7585481838891033E-3</v>
      </c>
    </row>
    <row r="1209" spans="2:6" hidden="1" outlineLevel="1" x14ac:dyDescent="0.25">
      <c r="B1209" s="291">
        <v>45404</v>
      </c>
      <c r="C1209">
        <v>88.330001999999993</v>
      </c>
      <c r="D1209" s="289">
        <f t="shared" si="73"/>
        <v>1.3772581674712958E-2</v>
      </c>
      <c r="E1209">
        <v>5010.6000979999999</v>
      </c>
      <c r="F1209" s="289">
        <f t="shared" si="73"/>
        <v>8.7312482358627985E-3</v>
      </c>
    </row>
    <row r="1210" spans="2:6" hidden="1" outlineLevel="1" x14ac:dyDescent="0.25">
      <c r="B1210" s="291">
        <v>45405</v>
      </c>
      <c r="C1210">
        <v>88.580001999999993</v>
      </c>
      <c r="D1210" s="289">
        <f t="shared" si="73"/>
        <v>2.8302954187637841E-3</v>
      </c>
      <c r="E1210">
        <v>5070.5498049999997</v>
      </c>
      <c r="F1210" s="289">
        <f t="shared" si="73"/>
        <v>1.1964576263814974E-2</v>
      </c>
    </row>
    <row r="1211" spans="2:6" hidden="1" outlineLevel="1" x14ac:dyDescent="0.25">
      <c r="B1211" s="291">
        <v>45406</v>
      </c>
      <c r="C1211">
        <v>88.870002999999997</v>
      </c>
      <c r="D1211" s="289">
        <f t="shared" si="73"/>
        <v>3.273887936918296E-3</v>
      </c>
      <c r="E1211">
        <v>5071.6298829999996</v>
      </c>
      <c r="F1211" s="289">
        <f t="shared" si="73"/>
        <v>2.1301003668972029E-4</v>
      </c>
    </row>
    <row r="1212" spans="2:6" hidden="1" outlineLevel="1" x14ac:dyDescent="0.25">
      <c r="B1212" s="291">
        <v>45407</v>
      </c>
      <c r="C1212">
        <v>89.290001000000004</v>
      </c>
      <c r="D1212" s="289">
        <f t="shared" si="73"/>
        <v>4.7259816115907682E-3</v>
      </c>
      <c r="E1212">
        <v>5048.419922</v>
      </c>
      <c r="F1212" s="289">
        <f t="shared" si="73"/>
        <v>-4.5764303656697924E-3</v>
      </c>
    </row>
    <row r="1213" spans="2:6" hidden="1" outlineLevel="1" x14ac:dyDescent="0.25">
      <c r="B1213" s="291">
        <v>45408</v>
      </c>
      <c r="C1213">
        <v>91.010002</v>
      </c>
      <c r="D1213" s="289">
        <f t="shared" si="73"/>
        <v>1.9263086356108294E-2</v>
      </c>
      <c r="E1213">
        <v>5099.9599609999996</v>
      </c>
      <c r="F1213" s="289">
        <f t="shared" si="73"/>
        <v>1.0209142622110035E-2</v>
      </c>
    </row>
    <row r="1214" spans="2:6" hidden="1" outlineLevel="1" x14ac:dyDescent="0.25">
      <c r="B1214" s="291">
        <v>45411</v>
      </c>
      <c r="C1214">
        <v>90.489998</v>
      </c>
      <c r="D1214" s="289">
        <f t="shared" ref="D1214:F1229" si="74">C1214/C1213-1</f>
        <v>-5.7137016654499329E-3</v>
      </c>
      <c r="E1214">
        <v>5116.169922</v>
      </c>
      <c r="F1214" s="289">
        <f t="shared" si="74"/>
        <v>3.1784486788053457E-3</v>
      </c>
    </row>
    <row r="1215" spans="2:6" hidden="1" outlineLevel="1" x14ac:dyDescent="0.25">
      <c r="B1215" s="291">
        <v>45412</v>
      </c>
      <c r="C1215">
        <v>91.919998000000007</v>
      </c>
      <c r="D1215" s="289">
        <f t="shared" si="74"/>
        <v>1.5802851493045722E-2</v>
      </c>
      <c r="E1215">
        <v>5035.6899409999996</v>
      </c>
      <c r="F1215" s="289">
        <f t="shared" si="74"/>
        <v>-1.5730513690315306E-2</v>
      </c>
    </row>
    <row r="1216" spans="2:6" hidden="1" outlineLevel="1" x14ac:dyDescent="0.25">
      <c r="B1216" s="291">
        <v>45413</v>
      </c>
      <c r="C1216">
        <v>91.900002000000001</v>
      </c>
      <c r="D1216" s="289">
        <f t="shared" si="74"/>
        <v>-2.1753699341908739E-4</v>
      </c>
      <c r="E1216">
        <v>5018.3901370000003</v>
      </c>
      <c r="F1216" s="289">
        <f t="shared" si="74"/>
        <v>-3.4354386792455616E-3</v>
      </c>
    </row>
    <row r="1217" spans="2:6" hidden="1" outlineLevel="1" x14ac:dyDescent="0.25">
      <c r="B1217" s="291">
        <v>45414</v>
      </c>
      <c r="C1217">
        <v>92.910004000000001</v>
      </c>
      <c r="D1217" s="289">
        <f t="shared" si="74"/>
        <v>1.0990228270071123E-2</v>
      </c>
      <c r="E1217">
        <v>5064.2001950000003</v>
      </c>
      <c r="F1217" s="289">
        <f t="shared" si="74"/>
        <v>9.1284369587465441E-3</v>
      </c>
    </row>
    <row r="1218" spans="2:6" hidden="1" outlineLevel="1" x14ac:dyDescent="0.25">
      <c r="B1218" s="291">
        <v>45415</v>
      </c>
      <c r="C1218">
        <v>92.879997000000003</v>
      </c>
      <c r="D1218" s="289">
        <f t="shared" si="74"/>
        <v>-3.2296845020041154E-4</v>
      </c>
      <c r="E1218">
        <v>5127.7900390000004</v>
      </c>
      <c r="F1218" s="289">
        <f t="shared" si="74"/>
        <v>1.2556739771619529E-2</v>
      </c>
    </row>
    <row r="1219" spans="2:6" hidden="1" outlineLevel="1" x14ac:dyDescent="0.25">
      <c r="B1219" s="291">
        <v>45418</v>
      </c>
      <c r="C1219">
        <v>93.18</v>
      </c>
      <c r="D1219" s="289">
        <f t="shared" si="74"/>
        <v>3.2300065642767439E-3</v>
      </c>
      <c r="E1219">
        <v>5180.7402339999999</v>
      </c>
      <c r="F1219" s="289">
        <f t="shared" si="74"/>
        <v>1.0326123846195134E-2</v>
      </c>
    </row>
    <row r="1220" spans="2:6" hidden="1" outlineLevel="1" x14ac:dyDescent="0.25">
      <c r="B1220" s="291">
        <v>45419</v>
      </c>
      <c r="C1220">
        <v>94.080001999999993</v>
      </c>
      <c r="D1220" s="289">
        <f t="shared" si="74"/>
        <v>9.6587465121269478E-3</v>
      </c>
      <c r="E1220">
        <v>5187.7001950000003</v>
      </c>
      <c r="F1220" s="289">
        <f t="shared" si="74"/>
        <v>1.3434298354362273E-3</v>
      </c>
    </row>
    <row r="1221" spans="2:6" hidden="1" outlineLevel="1" x14ac:dyDescent="0.25">
      <c r="B1221" s="291">
        <v>45420</v>
      </c>
      <c r="C1221">
        <v>93.470000999999996</v>
      </c>
      <c r="D1221" s="289">
        <f t="shared" si="74"/>
        <v>-6.483854028829561E-3</v>
      </c>
      <c r="E1221">
        <v>5187.669922</v>
      </c>
      <c r="F1221" s="289">
        <f t="shared" si="74"/>
        <v>-5.8355338323767825E-6</v>
      </c>
    </row>
    <row r="1222" spans="2:6" hidden="1" outlineLevel="1" x14ac:dyDescent="0.25">
      <c r="B1222" s="291">
        <v>45421</v>
      </c>
      <c r="C1222">
        <v>94.080001999999993</v>
      </c>
      <c r="D1222" s="289">
        <f t="shared" si="74"/>
        <v>6.5261687544007074E-3</v>
      </c>
      <c r="E1222">
        <v>5214.080078</v>
      </c>
      <c r="F1222" s="289">
        <f t="shared" si="74"/>
        <v>5.0909476503120388E-3</v>
      </c>
    </row>
    <row r="1223" spans="2:6" hidden="1" outlineLevel="1" x14ac:dyDescent="0.25">
      <c r="B1223" s="291">
        <v>45422</v>
      </c>
      <c r="C1223">
        <v>95.099997999999999</v>
      </c>
      <c r="D1223" s="289">
        <f t="shared" si="74"/>
        <v>1.0841793987206749E-2</v>
      </c>
      <c r="E1223">
        <v>5222.6801759999998</v>
      </c>
      <c r="F1223" s="289">
        <f t="shared" si="74"/>
        <v>1.6493989105166307E-3</v>
      </c>
    </row>
    <row r="1224" spans="2:6" hidden="1" outlineLevel="1" x14ac:dyDescent="0.25">
      <c r="B1224" s="291">
        <v>45425</v>
      </c>
      <c r="C1224">
        <v>94.459998999999996</v>
      </c>
      <c r="D1224" s="289">
        <f t="shared" si="74"/>
        <v>-6.7297477755993151E-3</v>
      </c>
      <c r="E1224">
        <v>5221.419922</v>
      </c>
      <c r="F1224" s="289">
        <f t="shared" si="74"/>
        <v>-2.4130407329769898E-4</v>
      </c>
    </row>
    <row r="1225" spans="2:6" hidden="1" outlineLevel="1" x14ac:dyDescent="0.25">
      <c r="B1225" s="291">
        <v>45426</v>
      </c>
      <c r="C1225">
        <v>94.57</v>
      </c>
      <c r="D1225" s="289">
        <f t="shared" si="74"/>
        <v>1.1645246788536401E-3</v>
      </c>
      <c r="E1225">
        <v>5246.6801759999998</v>
      </c>
      <c r="F1225" s="289">
        <f t="shared" si="74"/>
        <v>4.8378131575987915E-3</v>
      </c>
    </row>
    <row r="1226" spans="2:6" hidden="1" outlineLevel="1" x14ac:dyDescent="0.25">
      <c r="B1226" s="291">
        <v>45427</v>
      </c>
      <c r="C1226">
        <v>94.529999000000004</v>
      </c>
      <c r="D1226" s="289">
        <f t="shared" si="74"/>
        <v>-4.2297768848464923E-4</v>
      </c>
      <c r="E1226">
        <v>5308.1499020000001</v>
      </c>
      <c r="F1226" s="289">
        <f t="shared" si="74"/>
        <v>1.171592777489705E-2</v>
      </c>
    </row>
    <row r="1227" spans="2:6" hidden="1" outlineLevel="1" x14ac:dyDescent="0.25">
      <c r="B1227" s="291">
        <v>45428</v>
      </c>
      <c r="C1227">
        <v>94.529999000000004</v>
      </c>
      <c r="D1227" s="289">
        <f t="shared" si="74"/>
        <v>0</v>
      </c>
      <c r="E1227">
        <v>5297.1000979999999</v>
      </c>
      <c r="F1227" s="289">
        <f t="shared" si="74"/>
        <v>-2.0816676627457564E-3</v>
      </c>
    </row>
    <row r="1228" spans="2:6" hidden="1" outlineLevel="1" x14ac:dyDescent="0.25">
      <c r="B1228" s="291">
        <v>45429</v>
      </c>
      <c r="C1228">
        <v>94.129997000000003</v>
      </c>
      <c r="D1228" s="289">
        <f t="shared" si="74"/>
        <v>-4.2314821139477488E-3</v>
      </c>
      <c r="E1228">
        <v>5303.2700199999999</v>
      </c>
      <c r="F1228" s="289">
        <f t="shared" si="74"/>
        <v>1.164773533792518E-3</v>
      </c>
    </row>
    <row r="1229" spans="2:6" hidden="1" outlineLevel="1" x14ac:dyDescent="0.25">
      <c r="B1229" s="291">
        <v>45432</v>
      </c>
      <c r="C1229">
        <v>94.389999000000003</v>
      </c>
      <c r="D1229" s="289">
        <f t="shared" si="74"/>
        <v>2.762158804700654E-3</v>
      </c>
      <c r="E1229">
        <v>5308.1298829999996</v>
      </c>
      <c r="F1229" s="289">
        <f t="shared" si="74"/>
        <v>9.1638988429254553E-4</v>
      </c>
    </row>
    <row r="1230" spans="2:6" hidden="1" outlineLevel="1" x14ac:dyDescent="0.25">
      <c r="B1230" s="291">
        <v>45433</v>
      </c>
      <c r="C1230">
        <v>95.169998000000007</v>
      </c>
      <c r="D1230" s="289">
        <f t="shared" ref="D1230:F1245" si="75">C1230/C1229-1</f>
        <v>8.2635767376160185E-3</v>
      </c>
      <c r="E1230">
        <v>5321.4101559999999</v>
      </c>
      <c r="F1230" s="289">
        <f t="shared" si="75"/>
        <v>2.5018741614692974E-3</v>
      </c>
    </row>
    <row r="1231" spans="2:6" hidden="1" outlineLevel="1" x14ac:dyDescent="0.25">
      <c r="B1231" s="291">
        <v>45434</v>
      </c>
      <c r="C1231">
        <v>94.760002</v>
      </c>
      <c r="D1231" s="289">
        <f t="shared" si="75"/>
        <v>-4.3080383378804044E-3</v>
      </c>
      <c r="E1231">
        <v>5307.0097660000001</v>
      </c>
      <c r="F1231" s="289">
        <f t="shared" si="75"/>
        <v>-2.7061229219031979E-3</v>
      </c>
    </row>
    <row r="1232" spans="2:6" hidden="1" outlineLevel="1" x14ac:dyDescent="0.25">
      <c r="B1232" s="291">
        <v>45435</v>
      </c>
      <c r="C1232">
        <v>93.730002999999996</v>
      </c>
      <c r="D1232" s="289">
        <f t="shared" si="75"/>
        <v>-1.0869554435003148E-2</v>
      </c>
      <c r="E1232">
        <v>5267.8398440000001</v>
      </c>
      <c r="F1232" s="289">
        <f t="shared" si="75"/>
        <v>-7.3807895080477692E-3</v>
      </c>
    </row>
    <row r="1233" spans="1:6" hidden="1" outlineLevel="1" x14ac:dyDescent="0.25">
      <c r="B1233" s="291">
        <v>45436</v>
      </c>
      <c r="C1233">
        <v>93.300003000000004</v>
      </c>
      <c r="D1233" s="289">
        <f t="shared" si="75"/>
        <v>-4.5876452175083182E-3</v>
      </c>
      <c r="E1233">
        <v>5304.7202150000003</v>
      </c>
      <c r="F1233" s="289">
        <f t="shared" si="75"/>
        <v>7.0010425700406387E-3</v>
      </c>
    </row>
    <row r="1234" spans="1:6" hidden="1" outlineLevel="1" x14ac:dyDescent="0.25">
      <c r="B1234" s="291">
        <v>45440</v>
      </c>
      <c r="C1234">
        <v>91.940002000000007</v>
      </c>
      <c r="D1234" s="289">
        <f t="shared" si="75"/>
        <v>-1.4576644761737034E-2</v>
      </c>
      <c r="E1234">
        <v>5306.0400390000004</v>
      </c>
      <c r="F1234" s="289">
        <f t="shared" si="75"/>
        <v>2.4880181168995819E-4</v>
      </c>
    </row>
    <row r="1235" spans="1:6" hidden="1" outlineLevel="1" x14ac:dyDescent="0.25">
      <c r="B1235" s="291">
        <v>45441</v>
      </c>
      <c r="C1235">
        <v>91.290001000000004</v>
      </c>
      <c r="D1235" s="289">
        <f t="shared" si="75"/>
        <v>-7.0698388716590177E-3</v>
      </c>
      <c r="E1235">
        <v>5266.9501950000003</v>
      </c>
      <c r="F1235" s="289">
        <f t="shared" si="75"/>
        <v>-7.367046556883361E-3</v>
      </c>
    </row>
    <row r="1236" spans="1:6" hidden="1" outlineLevel="1" x14ac:dyDescent="0.25">
      <c r="B1236" s="291">
        <v>45442</v>
      </c>
      <c r="C1236">
        <v>90.93</v>
      </c>
      <c r="D1236" s="289">
        <f t="shared" si="75"/>
        <v>-3.9434877429784798E-3</v>
      </c>
      <c r="E1236">
        <v>5235.4799800000001</v>
      </c>
      <c r="F1236" s="289">
        <f t="shared" si="75"/>
        <v>-5.975035615464086E-3</v>
      </c>
    </row>
    <row r="1237" spans="1:6" hidden="1" outlineLevel="1" x14ac:dyDescent="0.25">
      <c r="B1237" s="291">
        <v>45443</v>
      </c>
      <c r="C1237">
        <v>92.959998999999996</v>
      </c>
      <c r="D1237" s="289">
        <f t="shared" si="75"/>
        <v>2.2324854283514606E-2</v>
      </c>
      <c r="E1237">
        <v>5277.5097660000001</v>
      </c>
      <c r="F1237" s="289">
        <f t="shared" si="75"/>
        <v>8.0278763667434028E-3</v>
      </c>
    </row>
    <row r="1238" spans="1:6" hidden="1" outlineLevel="1" x14ac:dyDescent="0.25">
      <c r="B1238" s="291">
        <v>45446</v>
      </c>
      <c r="C1238">
        <v>92.470000999999996</v>
      </c>
      <c r="D1238" s="289">
        <f t="shared" si="75"/>
        <v>-5.2710628794219172E-3</v>
      </c>
      <c r="E1238">
        <v>5283.3999020000001</v>
      </c>
      <c r="F1238" s="289">
        <f t="shared" si="75"/>
        <v>1.1160824444034212E-3</v>
      </c>
    </row>
    <row r="1239" spans="1:6" hidden="1" outlineLevel="1" x14ac:dyDescent="0.25">
      <c r="B1239" s="291">
        <v>45447</v>
      </c>
      <c r="C1239">
        <v>93.809997999999993</v>
      </c>
      <c r="D1239" s="289">
        <f t="shared" si="75"/>
        <v>1.4491153731035489E-2</v>
      </c>
      <c r="E1239">
        <v>5291.3398440000001</v>
      </c>
      <c r="F1239" s="289">
        <f t="shared" si="75"/>
        <v>1.5028092037845386E-3</v>
      </c>
    </row>
    <row r="1240" spans="1:6" hidden="1" outlineLevel="1" x14ac:dyDescent="0.25">
      <c r="B1240" s="291">
        <v>45448</v>
      </c>
      <c r="C1240">
        <v>93.660004000000001</v>
      </c>
      <c r="D1240" s="289">
        <f t="shared" si="75"/>
        <v>-1.5989127299629313E-3</v>
      </c>
      <c r="E1240">
        <v>5354.0297849999997</v>
      </c>
      <c r="F1240" s="289">
        <f t="shared" si="75"/>
        <v>1.1847649715994946E-2</v>
      </c>
    </row>
    <row r="1241" spans="1:6" hidden="1" outlineLevel="1" x14ac:dyDescent="0.25">
      <c r="B1241" s="291">
        <v>45449</v>
      </c>
      <c r="C1241">
        <v>93.980002999999996</v>
      </c>
      <c r="D1241" s="289">
        <f t="shared" si="75"/>
        <v>3.4166024592525712E-3</v>
      </c>
      <c r="E1241">
        <v>5352.9599609999996</v>
      </c>
      <c r="F1241" s="289">
        <f t="shared" si="75"/>
        <v>-1.9981659478196523E-4</v>
      </c>
    </row>
    <row r="1242" spans="1:6" hidden="1" outlineLevel="1" x14ac:dyDescent="0.25">
      <c r="B1242" s="291">
        <v>45450</v>
      </c>
      <c r="C1242">
        <v>93.889999000000003</v>
      </c>
      <c r="D1242" s="289">
        <f t="shared" si="75"/>
        <v>-9.5769309562576677E-4</v>
      </c>
      <c r="E1242">
        <v>5346.9902339999999</v>
      </c>
      <c r="F1242" s="289">
        <f t="shared" si="75"/>
        <v>-1.1152198117477807E-3</v>
      </c>
    </row>
    <row r="1243" spans="1:6" hidden="1" outlineLevel="1" x14ac:dyDescent="0.25">
      <c r="B1243" s="291">
        <v>45453</v>
      </c>
      <c r="C1243">
        <v>93.900002000000001</v>
      </c>
      <c r="D1243" s="289">
        <f t="shared" si="75"/>
        <v>1.0653956871387038E-4</v>
      </c>
      <c r="E1243">
        <v>5360.7900390000004</v>
      </c>
      <c r="F1243" s="289">
        <f t="shared" si="75"/>
        <v>2.5808547231396251E-3</v>
      </c>
    </row>
    <row r="1244" spans="1:6" hidden="1" outlineLevel="1" x14ac:dyDescent="0.25">
      <c r="B1244" s="291">
        <v>45454</v>
      </c>
      <c r="C1244">
        <v>93.959998999999996</v>
      </c>
      <c r="D1244" s="289">
        <f t="shared" si="75"/>
        <v>6.3894567329181307E-4</v>
      </c>
      <c r="E1244">
        <v>5375.3198240000002</v>
      </c>
      <c r="F1244" s="289">
        <f t="shared" si="75"/>
        <v>2.7103812860220788E-3</v>
      </c>
    </row>
    <row r="1245" spans="1:6" hidden="1" outlineLevel="1" x14ac:dyDescent="0.25">
      <c r="B1245" s="291">
        <v>45455</v>
      </c>
      <c r="C1245">
        <v>93.230002999999996</v>
      </c>
      <c r="D1245" s="289">
        <f t="shared" si="75"/>
        <v>-7.7692210277694462E-3</v>
      </c>
      <c r="E1245">
        <v>5421.0297849999997</v>
      </c>
      <c r="F1245" s="289">
        <f t="shared" si="75"/>
        <v>8.5036728039717957E-3</v>
      </c>
    </row>
    <row r="1246" spans="1:6" hidden="1" outlineLevel="1" x14ac:dyDescent="0.25">
      <c r="B1246" s="291">
        <v>45456</v>
      </c>
      <c r="C1246">
        <v>94.760002</v>
      </c>
      <c r="D1246" s="289">
        <f>C1246/C1245-1</f>
        <v>1.6411015239375271E-2</v>
      </c>
      <c r="E1246">
        <v>5433.7402339999999</v>
      </c>
      <c r="F1246" s="289">
        <f>E1246/E1245-1</f>
        <v>2.3446558133972673E-3</v>
      </c>
    </row>
    <row r="1247" spans="1:6" hidden="1" outlineLevel="1" x14ac:dyDescent="0.25">
      <c r="B1247" s="291">
        <v>45457</v>
      </c>
      <c r="C1247">
        <v>94.620002999999997</v>
      </c>
      <c r="D1247" s="289">
        <f>C1247/C1246-1</f>
        <v>-1.4774060473321526E-3</v>
      </c>
      <c r="E1247">
        <v>5431.6000979999999</v>
      </c>
      <c r="F1247" s="289">
        <f>E1247/E1246-1</f>
        <v>-3.9386056525281266E-4</v>
      </c>
    </row>
    <row r="1248" spans="1:6" hidden="1" collapsed="1" x14ac:dyDescent="0.25">
      <c r="A1248" s="291">
        <v>45460</v>
      </c>
      <c r="B1248">
        <v>95.949996999999996</v>
      </c>
      <c r="C1248" s="289">
        <f>B1248/C1247-1</f>
        <v>1.4056161042396154E-2</v>
      </c>
      <c r="D1248">
        <v>5473.2299800000001</v>
      </c>
      <c r="E1248" s="289">
        <f>D1248/E1247-1</f>
        <v>7.6643864144800844E-3</v>
      </c>
    </row>
    <row r="1249" spans="1:5" hidden="1" x14ac:dyDescent="0.25">
      <c r="A1249" s="291">
        <v>45461</v>
      </c>
      <c r="B1249">
        <v>97.010002</v>
      </c>
      <c r="C1249" s="289">
        <f t="shared" ref="C1249:E1261" si="76">B1249/B1248-1</f>
        <v>1.1047472987414597E-2</v>
      </c>
      <c r="D1249">
        <v>5487.0297849999997</v>
      </c>
      <c r="E1249" s="289">
        <f t="shared" si="76"/>
        <v>2.5213274520576867E-3</v>
      </c>
    </row>
    <row r="1250" spans="1:5" hidden="1" x14ac:dyDescent="0.25">
      <c r="A1250" s="291">
        <v>45463</v>
      </c>
      <c r="B1250">
        <v>96.949996999999996</v>
      </c>
      <c r="C1250" s="289">
        <f t="shared" si="76"/>
        <v>-6.1854446719833422E-4</v>
      </c>
      <c r="D1250">
        <v>5473.169922</v>
      </c>
      <c r="E1250" s="289">
        <f t="shared" si="76"/>
        <v>-2.5259317960855121E-3</v>
      </c>
    </row>
    <row r="1251" spans="1:5" hidden="1" x14ac:dyDescent="0.25">
      <c r="A1251" s="291">
        <v>45464</v>
      </c>
      <c r="B1251">
        <v>97.269997000000004</v>
      </c>
      <c r="C1251" s="289">
        <f t="shared" si="76"/>
        <v>3.3006705508202838E-3</v>
      </c>
      <c r="D1251">
        <v>5464.6201170000004</v>
      </c>
      <c r="E1251" s="289">
        <f t="shared" si="76"/>
        <v>-1.5621303781622187E-3</v>
      </c>
    </row>
    <row r="1252" spans="1:5" hidden="1" x14ac:dyDescent="0.25">
      <c r="A1252" s="291">
        <v>45467</v>
      </c>
      <c r="B1252">
        <v>98.989998</v>
      </c>
      <c r="C1252" s="289">
        <f t="shared" si="76"/>
        <v>1.7682749594409852E-2</v>
      </c>
      <c r="D1252">
        <v>5447.8701170000004</v>
      </c>
      <c r="E1252" s="289">
        <f t="shared" si="76"/>
        <v>-3.0651718950951423E-3</v>
      </c>
    </row>
    <row r="1253" spans="1:5" hidden="1" x14ac:dyDescent="0.25">
      <c r="A1253" s="291">
        <v>45468</v>
      </c>
      <c r="B1253">
        <v>98.699996999999996</v>
      </c>
      <c r="C1253" s="289">
        <f t="shared" si="76"/>
        <v>-2.9295990085786983E-3</v>
      </c>
      <c r="D1253">
        <v>5469.2998049999997</v>
      </c>
      <c r="E1253" s="289">
        <f t="shared" si="76"/>
        <v>3.9335901076511526E-3</v>
      </c>
    </row>
    <row r="1254" spans="1:5" hidden="1" x14ac:dyDescent="0.25">
      <c r="A1254" s="291">
        <v>45469</v>
      </c>
      <c r="B1254">
        <v>98.230002999999996</v>
      </c>
      <c r="C1254" s="289">
        <f t="shared" si="76"/>
        <v>-4.7618441163681524E-3</v>
      </c>
      <c r="D1254">
        <v>5477.8999020000001</v>
      </c>
      <c r="E1254" s="289">
        <f t="shared" si="76"/>
        <v>1.5724310801426E-3</v>
      </c>
    </row>
    <row r="1255" spans="1:5" hidden="1" x14ac:dyDescent="0.25">
      <c r="A1255" s="291">
        <v>45470</v>
      </c>
      <c r="B1255">
        <v>98.169998000000007</v>
      </c>
      <c r="C1255" s="289">
        <f t="shared" si="76"/>
        <v>-6.1086224338191553E-4</v>
      </c>
      <c r="D1255">
        <v>5482.8701170000004</v>
      </c>
      <c r="E1255" s="289">
        <f t="shared" si="76"/>
        <v>9.0732125247217077E-4</v>
      </c>
    </row>
    <row r="1256" spans="1:5" hidden="1" x14ac:dyDescent="0.25">
      <c r="A1256" s="291">
        <v>45471</v>
      </c>
      <c r="B1256">
        <v>97.040001000000004</v>
      </c>
      <c r="C1256" s="289">
        <f t="shared" si="76"/>
        <v>-1.1510614475106817E-2</v>
      </c>
      <c r="D1256">
        <v>5460.4799800000001</v>
      </c>
      <c r="E1256" s="289">
        <f t="shared" si="76"/>
        <v>-4.0836526348815294E-3</v>
      </c>
    </row>
    <row r="1257" spans="1:5" hidden="1" x14ac:dyDescent="0.25">
      <c r="A1257" s="291">
        <v>45474</v>
      </c>
      <c r="B1257">
        <v>95.540001000000004</v>
      </c>
      <c r="C1257" s="289">
        <f t="shared" si="76"/>
        <v>-1.5457543121830786E-2</v>
      </c>
      <c r="D1257">
        <v>5475.0898440000001</v>
      </c>
      <c r="E1257" s="289">
        <f t="shared" si="76"/>
        <v>2.6755640627766919E-3</v>
      </c>
    </row>
    <row r="1258" spans="1:5" hidden="1" x14ac:dyDescent="0.25">
      <c r="A1258" s="291">
        <v>45475</v>
      </c>
      <c r="B1258">
        <v>96.120002999999997</v>
      </c>
      <c r="C1258" s="289">
        <f t="shared" si="76"/>
        <v>6.0707765745156017E-3</v>
      </c>
      <c r="D1258">
        <v>5509.0097660000001</v>
      </c>
      <c r="E1258" s="289">
        <f t="shared" si="76"/>
        <v>6.1953178790612462E-3</v>
      </c>
    </row>
    <row r="1259" spans="1:5" hidden="1" x14ac:dyDescent="0.25">
      <c r="A1259" s="291">
        <v>45476</v>
      </c>
      <c r="B1259">
        <v>95.889999000000003</v>
      </c>
      <c r="C1259" s="289">
        <f t="shared" si="76"/>
        <v>-2.3928838204467784E-3</v>
      </c>
      <c r="D1259">
        <v>5537.0200199999999</v>
      </c>
      <c r="E1259" s="289">
        <f t="shared" si="76"/>
        <v>5.0844444264503963E-3</v>
      </c>
    </row>
    <row r="1260" spans="1:5" hidden="1" x14ac:dyDescent="0.25">
      <c r="A1260" s="291">
        <v>45478</v>
      </c>
      <c r="B1260">
        <v>97.050003000000004</v>
      </c>
      <c r="C1260" s="289">
        <f t="shared" si="76"/>
        <v>1.2097236542884859E-2</v>
      </c>
      <c r="D1260">
        <v>5567.1899409999996</v>
      </c>
      <c r="E1260" s="289">
        <f t="shared" si="76"/>
        <v>5.4487650199970261E-3</v>
      </c>
    </row>
    <row r="1261" spans="1:5" hidden="1" x14ac:dyDescent="0.25">
      <c r="A1261" s="291">
        <v>45481</v>
      </c>
      <c r="B1261">
        <v>97.580001999999993</v>
      </c>
      <c r="C1261" s="289">
        <f t="shared" si="76"/>
        <v>5.4610920516919848E-3</v>
      </c>
      <c r="D1261">
        <v>5572.8500979999999</v>
      </c>
      <c r="E1261" s="289">
        <f t="shared" si="76"/>
        <v>1.0166990995430503E-3</v>
      </c>
    </row>
    <row r="1262" spans="1:5" hidden="1" x14ac:dyDescent="0.25">
      <c r="A1262" s="291">
        <v>45482</v>
      </c>
      <c r="B1262">
        <v>97.040001000000004</v>
      </c>
      <c r="C1262" s="289">
        <f t="shared" ref="C1262:E1277" si="77">B1262/B1261-1</f>
        <v>-5.5339310200054337E-3</v>
      </c>
      <c r="D1262">
        <v>5576.9799800000001</v>
      </c>
      <c r="E1262" s="289">
        <f t="shared" si="77"/>
        <v>7.4107179044391458E-4</v>
      </c>
    </row>
    <row r="1263" spans="1:5" hidden="1" x14ac:dyDescent="0.25">
      <c r="A1263" s="291">
        <v>45483</v>
      </c>
      <c r="B1263">
        <v>97.389999000000003</v>
      </c>
      <c r="C1263" s="289">
        <f t="shared" si="77"/>
        <v>3.6067394517029783E-3</v>
      </c>
      <c r="D1263">
        <v>5633.9101559999999</v>
      </c>
      <c r="E1263" s="289">
        <f t="shared" si="77"/>
        <v>1.0208065333596528E-2</v>
      </c>
    </row>
    <row r="1264" spans="1:5" hidden="1" x14ac:dyDescent="0.25">
      <c r="A1264" s="291">
        <v>45484</v>
      </c>
      <c r="B1264">
        <v>97.760002</v>
      </c>
      <c r="C1264" s="289">
        <f t="shared" si="77"/>
        <v>3.799188867431802E-3</v>
      </c>
      <c r="D1264">
        <v>5584.5400390000004</v>
      </c>
      <c r="E1264" s="289">
        <f t="shared" si="77"/>
        <v>-8.7630288082285457E-3</v>
      </c>
    </row>
    <row r="1265" spans="1:5" hidden="1" x14ac:dyDescent="0.25">
      <c r="A1265" s="291">
        <v>45485</v>
      </c>
      <c r="B1265">
        <v>98.07</v>
      </c>
      <c r="C1265" s="289">
        <f t="shared" si="77"/>
        <v>3.1710105734243932E-3</v>
      </c>
      <c r="D1265">
        <v>5615.3500979999999</v>
      </c>
      <c r="E1265" s="289">
        <f t="shared" si="77"/>
        <v>5.5170271472377852E-3</v>
      </c>
    </row>
    <row r="1266" spans="1:5" hidden="1" x14ac:dyDescent="0.25">
      <c r="A1266" s="291">
        <v>45488</v>
      </c>
      <c r="B1266">
        <v>97.25</v>
      </c>
      <c r="C1266" s="289">
        <f t="shared" si="77"/>
        <v>-8.3613745283980245E-3</v>
      </c>
      <c r="D1266">
        <v>5631.2202150000003</v>
      </c>
      <c r="E1266" s="289">
        <f t="shared" si="77"/>
        <v>2.826202591651894E-3</v>
      </c>
    </row>
    <row r="1267" spans="1:5" hidden="1" x14ac:dyDescent="0.25">
      <c r="A1267" s="291">
        <v>45489</v>
      </c>
      <c r="B1267">
        <v>97.400002000000001</v>
      </c>
      <c r="C1267" s="289">
        <f t="shared" si="77"/>
        <v>1.5424370179948355E-3</v>
      </c>
      <c r="D1267">
        <v>5667.2001950000003</v>
      </c>
      <c r="E1267" s="289">
        <f t="shared" si="77"/>
        <v>6.389375415324583E-3</v>
      </c>
    </row>
    <row r="1268" spans="1:5" hidden="1" x14ac:dyDescent="0.25">
      <c r="A1268" s="291">
        <v>45490</v>
      </c>
      <c r="B1268">
        <v>99.389999000000003</v>
      </c>
      <c r="C1268" s="289">
        <f t="shared" si="77"/>
        <v>2.0431180278620564E-2</v>
      </c>
      <c r="D1268">
        <v>5588.2700199999999</v>
      </c>
      <c r="E1268" s="289">
        <f t="shared" si="77"/>
        <v>-1.392754310490707E-2</v>
      </c>
    </row>
    <row r="1269" spans="1:5" hidden="1" x14ac:dyDescent="0.25">
      <c r="A1269" s="291">
        <v>45491</v>
      </c>
      <c r="B1269">
        <v>98.510002</v>
      </c>
      <c r="C1269" s="289">
        <f t="shared" si="77"/>
        <v>-8.8539793626519758E-3</v>
      </c>
      <c r="D1269">
        <v>5544.5898440000001</v>
      </c>
      <c r="E1269" s="289">
        <f t="shared" si="77"/>
        <v>-7.8164039754112791E-3</v>
      </c>
    </row>
    <row r="1270" spans="1:5" hidden="1" x14ac:dyDescent="0.25">
      <c r="A1270" s="291">
        <v>45492</v>
      </c>
      <c r="B1270">
        <v>98.080001999999993</v>
      </c>
      <c r="C1270" s="289">
        <f t="shared" si="77"/>
        <v>-4.36503899370555E-3</v>
      </c>
      <c r="D1270">
        <v>5505</v>
      </c>
      <c r="E1270" s="289">
        <f t="shared" si="77"/>
        <v>-7.1402655766940049E-3</v>
      </c>
    </row>
    <row r="1271" spans="1:5" hidden="1" x14ac:dyDescent="0.25">
      <c r="A1271" s="291">
        <v>45495</v>
      </c>
      <c r="B1271">
        <v>97.949996999999996</v>
      </c>
      <c r="C1271" s="289">
        <f t="shared" si="77"/>
        <v>-1.3254995651407198E-3</v>
      </c>
      <c r="D1271">
        <v>5564.4101559999999</v>
      </c>
      <c r="E1271" s="289">
        <f t="shared" si="77"/>
        <v>1.0792035603996331E-2</v>
      </c>
    </row>
    <row r="1272" spans="1:5" hidden="1" x14ac:dyDescent="0.25">
      <c r="A1272" s="291">
        <v>45496</v>
      </c>
      <c r="B1272">
        <v>96.550003000000004</v>
      </c>
      <c r="C1272" s="289">
        <f t="shared" si="77"/>
        <v>-1.4292945818058511E-2</v>
      </c>
      <c r="D1272">
        <v>5555.7402339999999</v>
      </c>
      <c r="E1272" s="289">
        <f t="shared" si="77"/>
        <v>-1.5581026123050457E-3</v>
      </c>
    </row>
    <row r="1273" spans="1:5" hidden="1" x14ac:dyDescent="0.25">
      <c r="A1273" s="291">
        <v>45497</v>
      </c>
      <c r="B1273">
        <v>96.599997999999999</v>
      </c>
      <c r="C1273" s="289">
        <f t="shared" si="77"/>
        <v>5.1781458774269318E-4</v>
      </c>
      <c r="D1273">
        <v>5427.1298829999996</v>
      </c>
      <c r="E1273" s="289">
        <f t="shared" si="77"/>
        <v>-2.3149093655050912E-2</v>
      </c>
    </row>
    <row r="1274" spans="1:5" hidden="1" x14ac:dyDescent="0.25">
      <c r="A1274" s="291">
        <v>45498</v>
      </c>
      <c r="B1274">
        <v>96.489998</v>
      </c>
      <c r="C1274" s="289">
        <f t="shared" si="77"/>
        <v>-1.1387163796835464E-3</v>
      </c>
      <c r="D1274">
        <v>5399.2202150000003</v>
      </c>
      <c r="E1274" s="289">
        <f t="shared" si="77"/>
        <v>-5.142620243422602E-3</v>
      </c>
    </row>
    <row r="1275" spans="1:5" hidden="1" x14ac:dyDescent="0.25">
      <c r="A1275" s="291">
        <v>45499</v>
      </c>
      <c r="B1275">
        <v>99.389999000000003</v>
      </c>
      <c r="C1275" s="289">
        <f t="shared" si="77"/>
        <v>3.0054938958543609E-2</v>
      </c>
      <c r="D1275">
        <v>5459.1000979999999</v>
      </c>
      <c r="E1275" s="289">
        <f t="shared" si="77"/>
        <v>1.1090468737252612E-2</v>
      </c>
    </row>
    <row r="1276" spans="1:5" hidden="1" x14ac:dyDescent="0.25">
      <c r="A1276" s="291">
        <v>45502</v>
      </c>
      <c r="B1276">
        <v>100.879997</v>
      </c>
      <c r="C1276" s="289">
        <f t="shared" si="77"/>
        <v>1.4991427859859519E-2</v>
      </c>
      <c r="D1276">
        <v>5463.5400390000004</v>
      </c>
      <c r="E1276" s="289">
        <f t="shared" si="77"/>
        <v>8.1331005482510044E-4</v>
      </c>
    </row>
    <row r="1277" spans="1:5" hidden="1" x14ac:dyDescent="0.25">
      <c r="A1277" s="291">
        <v>45503</v>
      </c>
      <c r="B1277">
        <v>100.489998</v>
      </c>
      <c r="C1277" s="289">
        <f t="shared" si="77"/>
        <v>-3.8659695836430474E-3</v>
      </c>
      <c r="D1277">
        <v>5436.4399409999996</v>
      </c>
      <c r="E1277" s="289">
        <f t="shared" si="77"/>
        <v>-4.9601719410041767E-3</v>
      </c>
    </row>
    <row r="1278" spans="1:5" hidden="1" x14ac:dyDescent="0.25">
      <c r="A1278" s="291">
        <v>45504</v>
      </c>
      <c r="B1278">
        <v>99.190002000000007</v>
      </c>
      <c r="C1278" s="289">
        <f t="shared" ref="C1278:E1285" si="78">B1278/B1277-1</f>
        <v>-1.2936571060534696E-2</v>
      </c>
      <c r="D1278">
        <v>5522.2998049999997</v>
      </c>
      <c r="E1278" s="289">
        <f t="shared" si="78"/>
        <v>1.5793398792557367E-2</v>
      </c>
    </row>
    <row r="1279" spans="1:5" hidden="1" x14ac:dyDescent="0.25">
      <c r="A1279" s="291">
        <v>45505</v>
      </c>
      <c r="B1279">
        <v>100.93</v>
      </c>
      <c r="C1279" s="289">
        <f t="shared" si="78"/>
        <v>1.7542070419557021E-2</v>
      </c>
      <c r="D1279">
        <v>5446.6801759999998</v>
      </c>
      <c r="E1279" s="289">
        <f t="shared" si="78"/>
        <v>-1.369350300965777E-2</v>
      </c>
    </row>
    <row r="1280" spans="1:5" hidden="1" x14ac:dyDescent="0.25">
      <c r="A1280" s="291">
        <v>45506</v>
      </c>
      <c r="B1280">
        <v>102.80999799999999</v>
      </c>
      <c r="C1280" s="289">
        <f t="shared" si="78"/>
        <v>1.8626751213712378E-2</v>
      </c>
      <c r="D1280">
        <v>5346.5600590000004</v>
      </c>
      <c r="E1280" s="289">
        <f t="shared" si="78"/>
        <v>-1.838186083353377E-2</v>
      </c>
    </row>
    <row r="1281" spans="1:5" hidden="1" x14ac:dyDescent="0.25">
      <c r="A1281" s="291">
        <v>45509</v>
      </c>
      <c r="B1281">
        <v>100.970001</v>
      </c>
      <c r="C1281" s="289">
        <f t="shared" si="78"/>
        <v>-1.7897062890712245E-2</v>
      </c>
      <c r="D1281">
        <v>5186.330078</v>
      </c>
      <c r="E1281" s="289">
        <f t="shared" si="78"/>
        <v>-2.9968798485725645E-2</v>
      </c>
    </row>
    <row r="1282" spans="1:5" hidden="1" x14ac:dyDescent="0.25">
      <c r="A1282" s="291">
        <v>45510</v>
      </c>
      <c r="B1282">
        <v>102.660004</v>
      </c>
      <c r="C1282" s="289">
        <f t="shared" si="78"/>
        <v>1.6737674391030355E-2</v>
      </c>
      <c r="D1282">
        <v>5240.0297849999997</v>
      </c>
      <c r="E1282" s="289">
        <f t="shared" si="78"/>
        <v>1.0354085874285213E-2</v>
      </c>
    </row>
    <row r="1283" spans="1:5" hidden="1" x14ac:dyDescent="0.25">
      <c r="A1283" s="291">
        <v>45511</v>
      </c>
      <c r="B1283">
        <v>102.43</v>
      </c>
      <c r="C1283" s="289">
        <f t="shared" si="78"/>
        <v>-2.2404440973915474E-3</v>
      </c>
      <c r="D1283">
        <v>5199.5</v>
      </c>
      <c r="E1283" s="289">
        <f t="shared" si="78"/>
        <v>-7.7346478289148646E-3</v>
      </c>
    </row>
    <row r="1284" spans="1:5" hidden="1" x14ac:dyDescent="0.25">
      <c r="A1284" s="291">
        <v>45512</v>
      </c>
      <c r="B1284">
        <v>102.709999</v>
      </c>
      <c r="C1284" s="289">
        <f t="shared" si="78"/>
        <v>2.7335643854338176E-3</v>
      </c>
      <c r="D1284">
        <v>5319.3100590000004</v>
      </c>
      <c r="E1284" s="289">
        <f t="shared" si="78"/>
        <v>2.3042611597269058E-2</v>
      </c>
    </row>
    <row r="1285" spans="1:5" hidden="1" x14ac:dyDescent="0.25">
      <c r="A1285" s="291">
        <v>45513</v>
      </c>
      <c r="B1285">
        <v>102.07</v>
      </c>
      <c r="C1285" s="289">
        <f t="shared" si="78"/>
        <v>-6.2311265332599675E-3</v>
      </c>
      <c r="D1285">
        <v>5344.1601559999999</v>
      </c>
      <c r="E1285" s="289">
        <f t="shared" si="78"/>
        <v>4.6716767258103697E-3</v>
      </c>
    </row>
  </sheetData>
  <autoFilter ref="A27:E1285" xr:uid="{148967DE-7E20-4139-8565-C9D9C0CB4E77}">
    <filterColumn colId="0">
      <filters>
        <dateGroupItem year="2024" month="1" dateTimeGrouping="month"/>
        <dateGroupItem year="2024" month="2" dateTimeGrouping="month"/>
        <dateGroupItem year="2024" month="3" dateTimeGrouping="month"/>
        <dateGroupItem year="2024" month="4" dateTimeGrouping="month"/>
        <dateGroupItem year="2024" month="5" dateTimeGrouping="month"/>
        <dateGroupItem year="2024" month="6" day="3" dateTimeGrouping="day"/>
        <dateGroupItem year="2024" month="6" day="4" dateTimeGrouping="day"/>
        <dateGroupItem year="2024" month="6" day="5" dateTimeGrouping="day"/>
        <dateGroupItem year="2024" month="6" day="6" dateTimeGrouping="day"/>
        <dateGroupItem year="2024" month="6" day="7" dateTimeGrouping="day"/>
        <dateGroupItem year="2024" month="6" day="10" dateTimeGrouping="day"/>
        <dateGroupItem year="2024" month="6" day="11" dateTimeGrouping="day"/>
        <dateGroupItem year="2024" month="6" day="12" dateTimeGrouping="day"/>
        <dateGroupItem year="2024" month="6" day="13" dateTimeGrouping="day"/>
        <dateGroupItem year="2024" month="6" day="14" dateTimeGrouping="day"/>
        <dateGroupItem year="2023" month="6" day="20" dateTimeGrouping="day"/>
        <dateGroupItem year="2023" month="6" day="21" dateTimeGrouping="day"/>
        <dateGroupItem year="2023" month="6" day="22" dateTimeGrouping="day"/>
        <dateGroupItem year="2023" month="6" day="23" dateTimeGrouping="day"/>
        <dateGroupItem year="2023" month="6" day="26" dateTimeGrouping="day"/>
        <dateGroupItem year="2023" month="6" day="27" dateTimeGrouping="day"/>
        <dateGroupItem year="2023" month="6" day="28" dateTimeGrouping="day"/>
        <dateGroupItem year="2023" month="6" day="29" dateTimeGrouping="day"/>
        <dateGroupItem year="2023" month="6" day="30" dateTimeGrouping="day"/>
        <dateGroupItem year="2023" month="7" dateTimeGrouping="month"/>
        <dateGroupItem year="2023" month="8" dateTimeGrouping="month"/>
        <dateGroupItem year="2023" month="9" dateTimeGrouping="month"/>
        <dateGroupItem year="2023" month="10" dateTimeGrouping="month"/>
        <dateGroupItem year="2023" month="11" dateTimeGrouping="month"/>
        <dateGroupItem year="2023" month="12" dateTimeGrouping="month"/>
      </filters>
    </filterColumn>
    <filterColumn colId="1">
      <filters>
        <dateGroupItem year="2024" dateTimeGrouping="year"/>
        <dateGroupItem year="2023" dateTimeGrouping="year"/>
      </filters>
    </filterColumn>
  </autoFilter>
  <hyperlinks>
    <hyperlink ref="B23" r:id="rId1" xr:uid="{C5C0A1C7-15EB-4C09-8A20-C203683E4B22}"/>
    <hyperlink ref="B24" r:id="rId2" xr:uid="{D6CD01EC-23A9-4F8C-8723-ED40E2832AD3}"/>
  </hyperlinks>
  <pageMargins left="0.7" right="0.7" top="0.75" bottom="0.75" header="0.3" footer="0.3"/>
  <pageSetup scale="82" orientation="portrait"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2F33-1C80-49DD-ACAA-C8F4B98895E9}">
  <dimension ref="A1:AG56"/>
  <sheetViews>
    <sheetView showGridLines="0" view="pageBreakPreview" zoomScale="80" zoomScaleNormal="100" zoomScaleSheetLayoutView="80" workbookViewId="0">
      <selection activeCell="T43" sqref="T43"/>
    </sheetView>
  </sheetViews>
  <sheetFormatPr defaultRowHeight="15" x14ac:dyDescent="0.25"/>
  <cols>
    <col min="1" max="1" width="4.7109375" bestFit="1" customWidth="1"/>
    <col min="2" max="2" width="12.7109375" customWidth="1"/>
    <col min="16" max="16" width="3.42578125" bestFit="1" customWidth="1"/>
    <col min="18" max="18" width="16.42578125" customWidth="1"/>
    <col min="20" max="20" width="11.5703125" customWidth="1"/>
    <col min="22" max="22" width="25.5703125" customWidth="1"/>
  </cols>
  <sheetData>
    <row r="1" spans="1:21" x14ac:dyDescent="0.25">
      <c r="P1" s="8"/>
      <c r="Q1" s="156"/>
    </row>
    <row r="7" spans="1:21" x14ac:dyDescent="0.25">
      <c r="A7" s="31"/>
    </row>
    <row r="8" spans="1:21" x14ac:dyDescent="0.25">
      <c r="A8" s="31"/>
    </row>
    <row r="9" spans="1:21" x14ac:dyDescent="0.25">
      <c r="B9" s="31" t="s">
        <v>570</v>
      </c>
      <c r="C9" s="432" t="s">
        <v>623</v>
      </c>
      <c r="R9" s="53"/>
    </row>
    <row r="11" spans="1:21" x14ac:dyDescent="0.25">
      <c r="A11" s="81"/>
      <c r="B11" s="81" t="s">
        <v>482</v>
      </c>
      <c r="C11" s="31" t="s">
        <v>483</v>
      </c>
      <c r="D11" s="31" t="s">
        <v>484</v>
      </c>
      <c r="E11" s="31" t="s">
        <v>485</v>
      </c>
      <c r="F11" s="31" t="s">
        <v>486</v>
      </c>
      <c r="G11" s="31" t="s">
        <v>487</v>
      </c>
      <c r="H11" s="31" t="s">
        <v>488</v>
      </c>
      <c r="I11" s="31" t="s">
        <v>489</v>
      </c>
      <c r="J11" s="31" t="s">
        <v>490</v>
      </c>
      <c r="K11" s="31" t="s">
        <v>491</v>
      </c>
      <c r="L11" s="31" t="s">
        <v>492</v>
      </c>
      <c r="M11" s="31" t="s">
        <v>493</v>
      </c>
      <c r="N11" s="31" t="s">
        <v>494</v>
      </c>
      <c r="O11" s="31" t="s">
        <v>495</v>
      </c>
    </row>
    <row r="12" spans="1:21" x14ac:dyDescent="0.25">
      <c r="B12" s="628">
        <v>45689</v>
      </c>
      <c r="C12">
        <v>5.49</v>
      </c>
      <c r="D12">
        <v>5.51</v>
      </c>
      <c r="E12">
        <v>5.42</v>
      </c>
      <c r="F12">
        <v>5.38</v>
      </c>
      <c r="G12">
        <v>5.15</v>
      </c>
      <c r="H12">
        <v>4.68</v>
      </c>
      <c r="I12">
        <v>4.2</v>
      </c>
      <c r="J12">
        <v>3.96</v>
      </c>
      <c r="K12">
        <v>3.8</v>
      </c>
      <c r="L12">
        <v>3.83</v>
      </c>
      <c r="M12">
        <v>3.87</v>
      </c>
      <c r="N12">
        <v>4.21</v>
      </c>
      <c r="O12">
        <v>4.0999999999999996</v>
      </c>
      <c r="T12" s="291"/>
      <c r="U12" s="291"/>
    </row>
    <row r="13" spans="1:21" x14ac:dyDescent="0.25">
      <c r="B13" s="628">
        <v>45717</v>
      </c>
      <c r="C13">
        <v>5.54</v>
      </c>
      <c r="D13">
        <v>5.49</v>
      </c>
      <c r="E13">
        <v>5.42</v>
      </c>
      <c r="F13">
        <v>5.41</v>
      </c>
      <c r="G13">
        <v>5.27</v>
      </c>
      <c r="H13">
        <v>4.9400000000000004</v>
      </c>
      <c r="I13">
        <v>4.54</v>
      </c>
      <c r="J13">
        <v>4.32</v>
      </c>
      <c r="K13">
        <v>4.17</v>
      </c>
      <c r="L13">
        <v>4.2</v>
      </c>
      <c r="M13">
        <v>4.1900000000000004</v>
      </c>
      <c r="N13">
        <v>4.46</v>
      </c>
      <c r="O13">
        <v>4.33</v>
      </c>
      <c r="T13" s="291"/>
      <c r="U13" s="291"/>
    </row>
    <row r="14" spans="1:21" x14ac:dyDescent="0.25">
      <c r="B14" s="628">
        <v>45809</v>
      </c>
      <c r="C14">
        <v>5.49</v>
      </c>
      <c r="D14">
        <v>5.47</v>
      </c>
      <c r="E14">
        <v>5.44</v>
      </c>
      <c r="F14">
        <v>5.41</v>
      </c>
      <c r="G14">
        <v>5.36</v>
      </c>
      <c r="H14">
        <v>5.0599999999999996</v>
      </c>
      <c r="I14">
        <v>4.72</v>
      </c>
      <c r="J14">
        <v>4.51</v>
      </c>
      <c r="K14">
        <v>4.34</v>
      </c>
      <c r="L14">
        <v>4.33</v>
      </c>
      <c r="M14">
        <v>4.33</v>
      </c>
      <c r="N14">
        <v>4.58</v>
      </c>
      <c r="O14">
        <v>4.47</v>
      </c>
      <c r="T14" s="291"/>
      <c r="U14" s="291"/>
    </row>
    <row r="15" spans="1:21" x14ac:dyDescent="0.25">
      <c r="B15" s="628">
        <v>45839</v>
      </c>
      <c r="C15">
        <v>5.47</v>
      </c>
      <c r="D15">
        <v>5.5</v>
      </c>
      <c r="E15">
        <v>5.46</v>
      </c>
      <c r="F15">
        <v>5.51</v>
      </c>
      <c r="G15">
        <v>5.43</v>
      </c>
      <c r="H15">
        <v>5.21</v>
      </c>
      <c r="I15">
        <v>4.96</v>
      </c>
      <c r="J15">
        <v>4.79</v>
      </c>
      <c r="K15">
        <v>4.6399999999999997</v>
      </c>
      <c r="L15">
        <v>4.6399999999999997</v>
      </c>
      <c r="M15">
        <v>4.63</v>
      </c>
      <c r="N15">
        <v>4.8499999999999996</v>
      </c>
      <c r="O15">
        <v>4.74</v>
      </c>
      <c r="T15" s="291"/>
      <c r="U15" s="291"/>
    </row>
    <row r="16" spans="1:21" x14ac:dyDescent="0.25">
      <c r="B16" s="628">
        <v>45870</v>
      </c>
      <c r="C16">
        <v>5.48</v>
      </c>
      <c r="D16">
        <v>5.48</v>
      </c>
      <c r="E16">
        <v>5.47</v>
      </c>
      <c r="F16">
        <v>5.45</v>
      </c>
      <c r="G16">
        <v>5.37</v>
      </c>
      <c r="H16">
        <v>5.0999999999999996</v>
      </c>
      <c r="I16">
        <v>4.7699999999999996</v>
      </c>
      <c r="J16">
        <v>4.58</v>
      </c>
      <c r="K16">
        <v>4.4400000000000004</v>
      </c>
      <c r="L16">
        <v>4.45</v>
      </c>
      <c r="M16">
        <v>4.4800000000000004</v>
      </c>
      <c r="N16">
        <v>4.76</v>
      </c>
      <c r="O16">
        <v>4.6399999999999997</v>
      </c>
      <c r="T16" s="291"/>
      <c r="U16" s="291"/>
    </row>
    <row r="17" spans="2:21" x14ac:dyDescent="0.25">
      <c r="B17" s="628">
        <v>45901</v>
      </c>
      <c r="C17">
        <v>5.55</v>
      </c>
      <c r="D17">
        <v>5.46</v>
      </c>
      <c r="E17">
        <v>5.37</v>
      </c>
      <c r="F17">
        <v>5.28</v>
      </c>
      <c r="G17">
        <v>5.08</v>
      </c>
      <c r="H17">
        <v>4.62</v>
      </c>
      <c r="I17">
        <v>4.16</v>
      </c>
      <c r="J17">
        <v>3.96</v>
      </c>
      <c r="K17">
        <v>3.84</v>
      </c>
      <c r="L17">
        <v>3.89</v>
      </c>
      <c r="M17">
        <v>3.99</v>
      </c>
      <c r="N17">
        <v>4.3499999999999996</v>
      </c>
      <c r="O17">
        <v>4.2699999999999996</v>
      </c>
      <c r="T17" s="291"/>
      <c r="U17" s="291"/>
    </row>
    <row r="18" spans="2:21" x14ac:dyDescent="0.25">
      <c r="B18" s="628">
        <v>45931</v>
      </c>
      <c r="C18">
        <v>5.55</v>
      </c>
      <c r="D18">
        <v>5.54</v>
      </c>
      <c r="E18">
        <v>5.46</v>
      </c>
      <c r="F18">
        <v>5.41</v>
      </c>
      <c r="G18">
        <v>5.24</v>
      </c>
      <c r="H18">
        <v>4.8</v>
      </c>
      <c r="I18">
        <v>4.33</v>
      </c>
      <c r="J18">
        <v>4.09</v>
      </c>
      <c r="K18">
        <v>3.93</v>
      </c>
      <c r="L18">
        <v>3.95</v>
      </c>
      <c r="M18">
        <v>3.95</v>
      </c>
      <c r="N18">
        <v>4.25</v>
      </c>
      <c r="O18">
        <v>4.08</v>
      </c>
      <c r="T18" s="291"/>
      <c r="U18" s="291"/>
    </row>
    <row r="19" spans="2:21" x14ac:dyDescent="0.25">
      <c r="B19" s="629" t="s">
        <v>676</v>
      </c>
      <c r="C19">
        <v>5.49</v>
      </c>
      <c r="D19">
        <v>5.51</v>
      </c>
      <c r="E19">
        <v>5.43</v>
      </c>
      <c r="F19">
        <v>5.42</v>
      </c>
      <c r="G19">
        <v>5.22</v>
      </c>
      <c r="H19">
        <v>4.8099999999999996</v>
      </c>
      <c r="I19">
        <v>4.3600000000000003</v>
      </c>
      <c r="J19">
        <v>4.1399999999999997</v>
      </c>
      <c r="K19">
        <v>3.99</v>
      </c>
      <c r="L19">
        <v>4.0199999999999996</v>
      </c>
      <c r="M19">
        <v>4.03</v>
      </c>
      <c r="N19">
        <v>4.33</v>
      </c>
      <c r="O19">
        <v>4.22</v>
      </c>
      <c r="T19" s="291"/>
      <c r="U19" s="291"/>
    </row>
    <row r="20" spans="2:21" x14ac:dyDescent="0.25">
      <c r="B20" s="629" t="s">
        <v>677</v>
      </c>
      <c r="C20">
        <v>5.49</v>
      </c>
      <c r="D20">
        <v>5.45</v>
      </c>
      <c r="E20">
        <v>5.42</v>
      </c>
      <c r="F20">
        <v>5.4</v>
      </c>
      <c r="G20">
        <v>5.34</v>
      </c>
      <c r="H20">
        <v>5.05</v>
      </c>
      <c r="I20">
        <v>4.7</v>
      </c>
      <c r="J20">
        <v>4.51</v>
      </c>
      <c r="K20">
        <v>4.3499999999999996</v>
      </c>
      <c r="L20">
        <v>4.37</v>
      </c>
      <c r="M20">
        <v>4.3600000000000003</v>
      </c>
      <c r="N20">
        <v>4.6100000000000003</v>
      </c>
      <c r="O20">
        <v>4.51</v>
      </c>
      <c r="T20" s="291"/>
      <c r="U20" s="291"/>
    </row>
    <row r="21" spans="2:21" x14ac:dyDescent="0.25">
      <c r="B21" s="629" t="s">
        <v>678</v>
      </c>
      <c r="C21">
        <v>5.51</v>
      </c>
      <c r="D21">
        <v>5.47</v>
      </c>
      <c r="E21">
        <v>5.46</v>
      </c>
      <c r="F21">
        <v>5.5</v>
      </c>
      <c r="G21">
        <v>5.42</v>
      </c>
      <c r="H21">
        <v>5.16</v>
      </c>
      <c r="I21">
        <v>4.87</v>
      </c>
      <c r="J21">
        <v>4.71</v>
      </c>
      <c r="K21">
        <v>4.57</v>
      </c>
      <c r="L21">
        <v>4.57</v>
      </c>
      <c r="M21">
        <v>4.58</v>
      </c>
      <c r="N21">
        <v>4.82</v>
      </c>
      <c r="O21">
        <v>4.72</v>
      </c>
      <c r="T21" s="291"/>
      <c r="U21" s="291"/>
    </row>
    <row r="22" spans="2:21" x14ac:dyDescent="0.25">
      <c r="B22" s="629" t="s">
        <v>679</v>
      </c>
      <c r="C22">
        <v>5.48</v>
      </c>
      <c r="D22">
        <v>5.47</v>
      </c>
      <c r="E22">
        <v>5.47</v>
      </c>
      <c r="F22">
        <v>5.44</v>
      </c>
      <c r="G22">
        <v>5.36</v>
      </c>
      <c r="H22">
        <v>5.07</v>
      </c>
      <c r="I22">
        <v>4.74</v>
      </c>
      <c r="J22">
        <v>4.54</v>
      </c>
      <c r="K22">
        <v>4.3899999999999997</v>
      </c>
      <c r="L22">
        <v>4.4000000000000004</v>
      </c>
      <c r="M22">
        <v>4.43</v>
      </c>
      <c r="N22">
        <v>4.71</v>
      </c>
      <c r="O22">
        <v>4.5999999999999996</v>
      </c>
      <c r="T22" s="291"/>
      <c r="U22" s="291"/>
    </row>
    <row r="23" spans="2:21" x14ac:dyDescent="0.25">
      <c r="B23" s="629" t="s">
        <v>680</v>
      </c>
      <c r="C23">
        <v>5.54</v>
      </c>
      <c r="D23">
        <v>5.43</v>
      </c>
      <c r="E23">
        <v>5.29</v>
      </c>
      <c r="F23">
        <v>5.14</v>
      </c>
      <c r="G23">
        <v>4.88</v>
      </c>
      <c r="H23">
        <v>4.33</v>
      </c>
      <c r="I23">
        <v>3.88</v>
      </c>
      <c r="J23">
        <v>3.7</v>
      </c>
      <c r="K23">
        <v>3.62</v>
      </c>
      <c r="L23">
        <v>3.68</v>
      </c>
      <c r="M23">
        <v>3.8</v>
      </c>
      <c r="N23">
        <v>4.1900000000000004</v>
      </c>
      <c r="O23">
        <v>4.1100000000000003</v>
      </c>
      <c r="T23" s="291"/>
      <c r="U23" s="291"/>
    </row>
    <row r="24" spans="2:21" x14ac:dyDescent="0.25">
      <c r="B24" s="629" t="s">
        <v>681</v>
      </c>
      <c r="C24">
        <v>5.54</v>
      </c>
      <c r="D24">
        <v>5.54</v>
      </c>
      <c r="E24">
        <v>5.48</v>
      </c>
      <c r="F24">
        <v>5.41</v>
      </c>
      <c r="G24">
        <v>5.25</v>
      </c>
      <c r="H24">
        <v>4.8099999999999996</v>
      </c>
      <c r="I24">
        <v>4.33</v>
      </c>
      <c r="J24">
        <v>4.07</v>
      </c>
      <c r="K24">
        <v>3.9</v>
      </c>
      <c r="L24">
        <v>3.92</v>
      </c>
      <c r="M24">
        <v>3.91</v>
      </c>
      <c r="N24">
        <v>4.21</v>
      </c>
      <c r="O24">
        <v>4.05</v>
      </c>
      <c r="T24" s="291"/>
      <c r="U24" s="291"/>
    </row>
    <row r="25" spans="2:21" x14ac:dyDescent="0.25">
      <c r="B25" s="629" t="s">
        <v>682</v>
      </c>
      <c r="C25">
        <v>5.47</v>
      </c>
      <c r="D25">
        <v>5.44</v>
      </c>
      <c r="E25">
        <v>5.42</v>
      </c>
      <c r="F25">
        <v>5.4</v>
      </c>
      <c r="G25">
        <v>5.33</v>
      </c>
      <c r="H25">
        <v>5.03</v>
      </c>
      <c r="I25">
        <v>4.68</v>
      </c>
      <c r="J25">
        <v>4.4800000000000004</v>
      </c>
      <c r="K25">
        <v>4.34</v>
      </c>
      <c r="L25">
        <v>4.3600000000000003</v>
      </c>
      <c r="M25">
        <v>4.3600000000000003</v>
      </c>
      <c r="N25">
        <v>4.6100000000000003</v>
      </c>
      <c r="O25">
        <v>4.51</v>
      </c>
      <c r="T25" s="291"/>
      <c r="U25" s="291"/>
    </row>
    <row r="26" spans="2:21" x14ac:dyDescent="0.25">
      <c r="B26" s="629" t="s">
        <v>683</v>
      </c>
      <c r="C26">
        <v>5.51</v>
      </c>
      <c r="D26">
        <v>5.48</v>
      </c>
      <c r="E26">
        <v>5.45</v>
      </c>
      <c r="F26">
        <v>5.5</v>
      </c>
      <c r="G26">
        <v>5.41</v>
      </c>
      <c r="H26">
        <v>5.12</v>
      </c>
      <c r="I26">
        <v>4.8099999999999996</v>
      </c>
      <c r="J26">
        <v>4.63</v>
      </c>
      <c r="K26">
        <v>4.4800000000000004</v>
      </c>
      <c r="L26">
        <v>4.49</v>
      </c>
      <c r="M26">
        <v>4.5</v>
      </c>
      <c r="N26">
        <v>4.75</v>
      </c>
      <c r="O26">
        <v>4.66</v>
      </c>
      <c r="T26" s="291"/>
      <c r="U26" s="291"/>
    </row>
    <row r="27" spans="2:21" x14ac:dyDescent="0.25">
      <c r="B27" s="629" t="s">
        <v>684</v>
      </c>
      <c r="C27">
        <v>5.49</v>
      </c>
      <c r="D27">
        <v>5.49</v>
      </c>
      <c r="E27">
        <v>5.52</v>
      </c>
      <c r="F27">
        <v>5.46</v>
      </c>
      <c r="G27">
        <v>5.39</v>
      </c>
      <c r="H27">
        <v>5.14</v>
      </c>
      <c r="I27">
        <v>4.82</v>
      </c>
      <c r="J27">
        <v>4.62</v>
      </c>
      <c r="K27">
        <v>4.42</v>
      </c>
      <c r="L27">
        <v>4.41</v>
      </c>
      <c r="M27">
        <v>4.41</v>
      </c>
      <c r="N27">
        <v>4.63</v>
      </c>
      <c r="O27">
        <v>4.55</v>
      </c>
      <c r="T27" s="291"/>
      <c r="U27" s="291"/>
    </row>
    <row r="28" spans="2:21" x14ac:dyDescent="0.25">
      <c r="B28" s="629" t="s">
        <v>685</v>
      </c>
      <c r="C28">
        <v>5.49</v>
      </c>
      <c r="D28">
        <v>5.54</v>
      </c>
      <c r="E28">
        <v>5.47</v>
      </c>
      <c r="F28">
        <v>5.47</v>
      </c>
      <c r="G28">
        <v>5.36</v>
      </c>
      <c r="H28">
        <v>5.04</v>
      </c>
      <c r="I28">
        <v>4.71</v>
      </c>
      <c r="J28">
        <v>4.4800000000000004</v>
      </c>
      <c r="K28">
        <v>4.33</v>
      </c>
      <c r="L28">
        <v>4.33</v>
      </c>
      <c r="M28">
        <v>4.3600000000000003</v>
      </c>
      <c r="N28">
        <v>4.6399999999999997</v>
      </c>
      <c r="O28">
        <v>4.53</v>
      </c>
      <c r="T28" s="291"/>
      <c r="U28" s="291"/>
    </row>
    <row r="29" spans="2:21" x14ac:dyDescent="0.25">
      <c r="B29" s="629" t="s">
        <v>686</v>
      </c>
      <c r="C29">
        <v>5.56</v>
      </c>
      <c r="D29">
        <v>5.48</v>
      </c>
      <c r="E29">
        <v>5.48</v>
      </c>
      <c r="F29">
        <v>5.41</v>
      </c>
      <c r="G29">
        <v>5.25</v>
      </c>
      <c r="H29">
        <v>4.8499999999999996</v>
      </c>
      <c r="I29">
        <v>4.38</v>
      </c>
      <c r="J29">
        <v>4.1399999999999997</v>
      </c>
      <c r="K29">
        <v>3.97</v>
      </c>
      <c r="L29">
        <v>3.99</v>
      </c>
      <c r="M29">
        <v>3.99</v>
      </c>
      <c r="N29">
        <v>4.3</v>
      </c>
      <c r="O29">
        <v>4.13</v>
      </c>
      <c r="T29" s="291"/>
      <c r="U29" s="291"/>
    </row>
    <row r="30" spans="2:21" x14ac:dyDescent="0.25">
      <c r="B30" s="629" t="s">
        <v>687</v>
      </c>
      <c r="C30">
        <v>5.51</v>
      </c>
      <c r="D30">
        <v>5.49</v>
      </c>
      <c r="E30">
        <v>5.48</v>
      </c>
      <c r="F30">
        <v>5.42</v>
      </c>
      <c r="G30">
        <v>5.37</v>
      </c>
      <c r="H30">
        <v>4.9800000000000004</v>
      </c>
      <c r="I30">
        <v>4.6100000000000003</v>
      </c>
      <c r="J30">
        <v>4.3899999999999997</v>
      </c>
      <c r="K30">
        <v>4.21</v>
      </c>
      <c r="L30">
        <v>4.2300000000000004</v>
      </c>
      <c r="M30">
        <v>4.22</v>
      </c>
      <c r="N30">
        <v>4.4800000000000004</v>
      </c>
      <c r="O30">
        <v>4.3600000000000003</v>
      </c>
      <c r="T30" s="291"/>
      <c r="U30" s="291"/>
    </row>
    <row r="31" spans="2:21" x14ac:dyDescent="0.25">
      <c r="B31" s="629" t="s">
        <v>688</v>
      </c>
      <c r="C31">
        <v>5.47</v>
      </c>
      <c r="D31">
        <v>5.49</v>
      </c>
      <c r="E31">
        <v>5.41</v>
      </c>
      <c r="F31">
        <v>5.4</v>
      </c>
      <c r="G31">
        <v>5.32</v>
      </c>
      <c r="H31">
        <v>5</v>
      </c>
      <c r="I31">
        <v>4.6500000000000004</v>
      </c>
      <c r="J31">
        <v>4.46</v>
      </c>
      <c r="K31">
        <v>4.3</v>
      </c>
      <c r="L31">
        <v>4.3099999999999996</v>
      </c>
      <c r="M31">
        <v>4.3099999999999996</v>
      </c>
      <c r="N31">
        <v>4.57</v>
      </c>
      <c r="O31">
        <v>4.47</v>
      </c>
      <c r="T31" s="291"/>
      <c r="U31" s="291"/>
    </row>
    <row r="32" spans="2:21" x14ac:dyDescent="0.25">
      <c r="B32" s="629" t="s">
        <v>689</v>
      </c>
      <c r="C32">
        <v>5.48</v>
      </c>
      <c r="D32">
        <v>5.48</v>
      </c>
      <c r="E32">
        <v>5.52</v>
      </c>
      <c r="F32">
        <v>5.45</v>
      </c>
      <c r="G32">
        <v>5.38</v>
      </c>
      <c r="H32">
        <v>5.1100000000000003</v>
      </c>
      <c r="I32">
        <v>4.7699999999999996</v>
      </c>
      <c r="J32">
        <v>4.55</v>
      </c>
      <c r="K32">
        <v>4.3499999999999996</v>
      </c>
      <c r="L32">
        <v>4.33</v>
      </c>
      <c r="M32">
        <v>4.33</v>
      </c>
      <c r="N32">
        <v>4.5599999999999996</v>
      </c>
      <c r="O32">
        <v>4.4800000000000004</v>
      </c>
      <c r="T32" s="291"/>
      <c r="U32" s="291"/>
    </row>
    <row r="33" spans="2:33" x14ac:dyDescent="0.25">
      <c r="B33" s="628">
        <v>45718</v>
      </c>
      <c r="C33">
        <v>5.54</v>
      </c>
      <c r="D33">
        <v>5.48</v>
      </c>
      <c r="E33">
        <v>5.47</v>
      </c>
      <c r="F33">
        <v>5.41</v>
      </c>
      <c r="G33">
        <v>5.24</v>
      </c>
      <c r="H33">
        <v>4.84</v>
      </c>
      <c r="I33">
        <v>4.4000000000000004</v>
      </c>
      <c r="J33">
        <v>4.17</v>
      </c>
      <c r="K33">
        <v>4.0199999999999996</v>
      </c>
      <c r="L33">
        <v>4.04</v>
      </c>
      <c r="M33">
        <v>4.05</v>
      </c>
      <c r="N33">
        <v>4.37</v>
      </c>
      <c r="O33">
        <v>4.21</v>
      </c>
      <c r="T33" s="291"/>
      <c r="U33" s="291"/>
    </row>
    <row r="34" spans="2:33" x14ac:dyDescent="0.25">
      <c r="B34" s="628">
        <v>45749</v>
      </c>
      <c r="C34">
        <v>5.49</v>
      </c>
      <c r="D34">
        <v>5.5</v>
      </c>
      <c r="E34">
        <v>5.42</v>
      </c>
      <c r="F34">
        <v>5.42</v>
      </c>
      <c r="G34">
        <v>5.25</v>
      </c>
      <c r="H34">
        <v>4.87</v>
      </c>
      <c r="I34">
        <v>4.46</v>
      </c>
      <c r="J34">
        <v>4.2699999999999996</v>
      </c>
      <c r="K34">
        <v>4.13</v>
      </c>
      <c r="L34">
        <v>4.16</v>
      </c>
      <c r="M34">
        <v>4.17</v>
      </c>
      <c r="N34">
        <v>4.46</v>
      </c>
      <c r="O34">
        <v>4.3499999999999996</v>
      </c>
      <c r="T34" s="291"/>
      <c r="U34" s="291"/>
    </row>
    <row r="35" spans="2:33" x14ac:dyDescent="0.25">
      <c r="B35" s="628">
        <v>45779</v>
      </c>
      <c r="C35">
        <v>5.5</v>
      </c>
      <c r="D35">
        <v>5.47</v>
      </c>
      <c r="E35">
        <v>5.47</v>
      </c>
      <c r="F35">
        <v>5.4</v>
      </c>
      <c r="G35">
        <v>5.35</v>
      </c>
      <c r="H35">
        <v>4.9400000000000004</v>
      </c>
      <c r="I35">
        <v>4.54</v>
      </c>
      <c r="J35">
        <v>4.32</v>
      </c>
      <c r="K35">
        <v>4.13</v>
      </c>
      <c r="L35">
        <v>4.1500000000000004</v>
      </c>
      <c r="M35">
        <v>4.13</v>
      </c>
      <c r="N35">
        <v>4.3899999999999997</v>
      </c>
      <c r="O35">
        <v>4.2699999999999996</v>
      </c>
      <c r="T35" s="291"/>
      <c r="U35" s="291"/>
    </row>
    <row r="36" spans="2:33" x14ac:dyDescent="0.25">
      <c r="B36" s="628">
        <v>45810</v>
      </c>
      <c r="C36">
        <v>5.47</v>
      </c>
      <c r="D36">
        <v>5.5</v>
      </c>
      <c r="E36">
        <v>5.43</v>
      </c>
      <c r="F36">
        <v>5.41</v>
      </c>
      <c r="G36">
        <v>5.34</v>
      </c>
      <c r="H36">
        <v>5.05</v>
      </c>
      <c r="I36">
        <v>4.7300000000000004</v>
      </c>
      <c r="J36">
        <v>4.54</v>
      </c>
      <c r="K36">
        <v>4.38</v>
      </c>
      <c r="L36">
        <v>4.3899999999999997</v>
      </c>
      <c r="M36">
        <v>4.3899999999999997</v>
      </c>
      <c r="N36">
        <v>4.6500000000000004</v>
      </c>
      <c r="O36">
        <v>4.54</v>
      </c>
      <c r="Q36" s="623"/>
      <c r="R36" s="623"/>
      <c r="S36" s="623"/>
      <c r="T36" s="626"/>
      <c r="U36" s="626"/>
      <c r="V36" s="623"/>
      <c r="W36" s="623"/>
      <c r="X36" s="623"/>
      <c r="Y36" s="623"/>
      <c r="Z36" s="623"/>
      <c r="AA36" s="623"/>
      <c r="AB36" s="623"/>
      <c r="AC36" s="623"/>
      <c r="AD36" s="623"/>
      <c r="AE36" s="623"/>
      <c r="AF36" s="623"/>
      <c r="AG36" s="623"/>
    </row>
    <row r="37" spans="2:33" x14ac:dyDescent="0.25">
      <c r="B37" s="628">
        <v>45840</v>
      </c>
      <c r="C37">
        <v>5.48</v>
      </c>
      <c r="D37">
        <v>5.48</v>
      </c>
      <c r="E37">
        <v>5.51</v>
      </c>
      <c r="F37">
        <v>5.46</v>
      </c>
      <c r="G37">
        <v>5.37</v>
      </c>
      <c r="H37">
        <v>5.08</v>
      </c>
      <c r="I37">
        <v>4.72</v>
      </c>
      <c r="J37">
        <v>4.5</v>
      </c>
      <c r="K37">
        <v>4.3099999999999996</v>
      </c>
      <c r="L37">
        <v>4.29</v>
      </c>
      <c r="M37">
        <v>4.29</v>
      </c>
      <c r="N37">
        <v>4.5199999999999996</v>
      </c>
      <c r="O37">
        <v>4.4400000000000004</v>
      </c>
      <c r="Q37" s="623"/>
      <c r="R37" s="627"/>
      <c r="S37" s="627"/>
      <c r="T37" s="627"/>
      <c r="U37" s="627"/>
      <c r="V37" s="627"/>
      <c r="W37" s="627"/>
      <c r="X37" s="627"/>
      <c r="Y37" s="627"/>
      <c r="Z37" s="627"/>
      <c r="AA37" s="627"/>
      <c r="AB37" s="627"/>
      <c r="AC37" s="627"/>
      <c r="AD37" s="627"/>
      <c r="AE37" s="627"/>
      <c r="AF37" s="627"/>
      <c r="AG37" s="623"/>
    </row>
    <row r="38" spans="2:33" x14ac:dyDescent="0.25">
      <c r="B38" s="628">
        <v>45932</v>
      </c>
      <c r="C38">
        <v>5.48</v>
      </c>
      <c r="D38">
        <v>5.53</v>
      </c>
      <c r="E38">
        <v>5.46</v>
      </c>
      <c r="F38">
        <v>5.46</v>
      </c>
      <c r="G38">
        <v>5.34</v>
      </c>
      <c r="H38">
        <v>4.9800000000000004</v>
      </c>
      <c r="I38">
        <v>4.5999999999999996</v>
      </c>
      <c r="J38">
        <v>4.3899999999999997</v>
      </c>
      <c r="K38">
        <v>4.22</v>
      </c>
      <c r="L38">
        <v>4.2300000000000004</v>
      </c>
      <c r="M38">
        <v>4.28</v>
      </c>
      <c r="N38">
        <v>4.57</v>
      </c>
      <c r="O38">
        <v>4.47</v>
      </c>
      <c r="Q38" s="623"/>
      <c r="R38" s="624"/>
      <c r="S38" s="625"/>
      <c r="T38" s="625"/>
      <c r="U38" s="625"/>
      <c r="V38" s="625"/>
      <c r="W38" s="625"/>
      <c r="X38" s="625"/>
      <c r="Y38" s="625"/>
      <c r="Z38" s="625"/>
      <c r="AA38" s="625"/>
      <c r="AB38" s="625"/>
      <c r="AC38" s="625"/>
      <c r="AD38" s="625"/>
      <c r="AE38" s="625"/>
      <c r="AF38" s="625"/>
      <c r="AG38" s="623"/>
    </row>
    <row r="39" spans="2:33" x14ac:dyDescent="0.25">
      <c r="B39" s="628">
        <v>45963</v>
      </c>
      <c r="C39">
        <v>5.52</v>
      </c>
      <c r="D39">
        <v>5.43</v>
      </c>
      <c r="E39">
        <v>5.35</v>
      </c>
      <c r="F39">
        <v>5.14</v>
      </c>
      <c r="G39">
        <v>4.91</v>
      </c>
      <c r="H39">
        <v>4.34</v>
      </c>
      <c r="I39">
        <v>3.89</v>
      </c>
      <c r="J39">
        <v>3.71</v>
      </c>
      <c r="K39">
        <v>3.62</v>
      </c>
      <c r="L39">
        <v>3.66</v>
      </c>
      <c r="M39">
        <v>3.78</v>
      </c>
      <c r="N39">
        <v>4.16</v>
      </c>
      <c r="O39">
        <v>4.0599999999999996</v>
      </c>
      <c r="Q39" s="623"/>
      <c r="R39" s="624"/>
      <c r="S39" s="625"/>
      <c r="T39" s="625"/>
      <c r="U39" s="625"/>
      <c r="V39" s="625"/>
      <c r="W39" s="625"/>
      <c r="X39" s="625"/>
      <c r="Y39" s="625"/>
      <c r="Z39" s="625"/>
      <c r="AA39" s="625"/>
      <c r="AB39" s="625"/>
      <c r="AC39" s="625"/>
      <c r="AD39" s="625"/>
      <c r="AE39" s="625"/>
      <c r="AF39" s="625"/>
      <c r="AG39" s="623"/>
    </row>
    <row r="40" spans="2:33" x14ac:dyDescent="0.25">
      <c r="B40" s="628">
        <v>45993</v>
      </c>
      <c r="C40" s="619">
        <v>4.25</v>
      </c>
      <c r="D40" s="619">
        <v>4.24</v>
      </c>
      <c r="E40" s="620">
        <v>5.44</v>
      </c>
      <c r="F40" s="619">
        <v>4.21</v>
      </c>
      <c r="G40" s="619">
        <v>4.13</v>
      </c>
      <c r="H40" s="619">
        <v>3.89</v>
      </c>
      <c r="I40" s="620">
        <v>4.3899999999999997</v>
      </c>
      <c r="J40" s="620">
        <v>4.1399999999999997</v>
      </c>
      <c r="K40" s="620">
        <v>4.03</v>
      </c>
      <c r="L40" s="620">
        <v>4.07</v>
      </c>
      <c r="M40" s="619">
        <v>4.4800000000000004</v>
      </c>
      <c r="N40" s="619">
        <v>4.49</v>
      </c>
      <c r="O40">
        <v>4.29</v>
      </c>
      <c r="Q40" s="623"/>
      <c r="R40" s="624"/>
      <c r="S40" s="625"/>
      <c r="T40" s="625"/>
      <c r="U40" s="625"/>
      <c r="V40" s="625"/>
      <c r="W40" s="625"/>
      <c r="X40" s="625"/>
      <c r="Y40" s="625"/>
      <c r="Z40" s="625"/>
      <c r="AA40" s="625"/>
      <c r="AB40" s="625"/>
      <c r="AC40" s="625"/>
      <c r="AD40" s="625"/>
      <c r="AE40" s="625"/>
      <c r="AF40" s="625"/>
      <c r="AG40" s="623"/>
    </row>
    <row r="41" spans="2:33" x14ac:dyDescent="0.25">
      <c r="B41" s="630">
        <v>45750</v>
      </c>
      <c r="C41" s="619">
        <v>4.25</v>
      </c>
      <c r="D41" s="619">
        <v>4.24</v>
      </c>
      <c r="E41" s="620">
        <v>5.47</v>
      </c>
      <c r="F41" s="619">
        <v>4.2</v>
      </c>
      <c r="G41" s="619">
        <v>4.0999999999999996</v>
      </c>
      <c r="H41" s="619">
        <v>3.88</v>
      </c>
      <c r="I41" s="620">
        <v>4.55</v>
      </c>
      <c r="J41" s="620">
        <v>4.32</v>
      </c>
      <c r="K41" s="620">
        <v>4.12</v>
      </c>
      <c r="L41" s="620">
        <v>4.12</v>
      </c>
      <c r="M41" s="619">
        <v>4.5599999999999996</v>
      </c>
      <c r="N41" s="619">
        <v>4.5599999999999996</v>
      </c>
      <c r="O41">
        <v>4.24</v>
      </c>
      <c r="Q41" s="623"/>
      <c r="R41" s="624"/>
      <c r="S41" s="625"/>
      <c r="T41" s="625"/>
      <c r="U41" s="625"/>
      <c r="V41" s="625"/>
      <c r="W41" s="625"/>
      <c r="X41" s="625"/>
      <c r="Y41" s="625"/>
      <c r="Z41" s="625"/>
      <c r="AA41" s="625"/>
      <c r="AB41" s="625"/>
      <c r="AC41" s="625"/>
      <c r="AD41" s="625"/>
      <c r="AE41" s="625"/>
      <c r="AF41" s="625"/>
      <c r="AG41" s="623"/>
    </row>
    <row r="42" spans="2:33" x14ac:dyDescent="0.25">
      <c r="B42" s="630">
        <v>45780</v>
      </c>
      <c r="C42" s="619">
        <v>4.24</v>
      </c>
      <c r="D42" s="619">
        <v>4.2300000000000004</v>
      </c>
      <c r="E42" s="620">
        <v>5.45</v>
      </c>
      <c r="F42" s="619">
        <v>4.21</v>
      </c>
      <c r="G42" s="619">
        <v>4.12</v>
      </c>
      <c r="H42" s="619">
        <v>3.89</v>
      </c>
      <c r="I42" s="620">
        <v>4.82</v>
      </c>
      <c r="J42" s="620">
        <v>4.6399999999999997</v>
      </c>
      <c r="K42" s="620">
        <v>4.4800000000000004</v>
      </c>
      <c r="L42" s="620">
        <v>4.4800000000000004</v>
      </c>
      <c r="M42" s="619">
        <v>4.6100000000000003</v>
      </c>
      <c r="N42" s="619">
        <v>4.6100000000000003</v>
      </c>
      <c r="O42">
        <v>4.6399999999999997</v>
      </c>
      <c r="Q42" s="623"/>
      <c r="R42" s="624"/>
      <c r="S42" s="625"/>
      <c r="T42" s="625"/>
      <c r="U42" s="625"/>
      <c r="V42" s="625"/>
      <c r="W42" s="625"/>
      <c r="X42" s="625"/>
      <c r="Y42" s="625"/>
      <c r="Z42" s="625"/>
      <c r="AA42" s="625"/>
      <c r="AB42" s="625"/>
      <c r="AC42" s="625"/>
      <c r="AD42" s="625"/>
      <c r="AE42" s="625"/>
      <c r="AF42" s="625"/>
      <c r="AG42" s="623"/>
    </row>
    <row r="43" spans="2:33" x14ac:dyDescent="0.25">
      <c r="B43" s="630">
        <v>45811</v>
      </c>
      <c r="C43" s="619">
        <v>4.24</v>
      </c>
      <c r="D43" s="619">
        <v>4.2300000000000004</v>
      </c>
      <c r="E43" s="620">
        <v>5.51</v>
      </c>
      <c r="F43" s="619">
        <v>4.2</v>
      </c>
      <c r="G43" s="619">
        <v>4.09</v>
      </c>
      <c r="H43" s="619">
        <v>3.86</v>
      </c>
      <c r="I43" s="620">
        <v>4.72</v>
      </c>
      <c r="J43" s="620">
        <v>4.49</v>
      </c>
      <c r="K43" s="620">
        <v>4.29</v>
      </c>
      <c r="L43" s="620">
        <v>4.28</v>
      </c>
      <c r="M43" s="619">
        <v>4.63</v>
      </c>
      <c r="N43" s="619">
        <v>4.63</v>
      </c>
      <c r="O43">
        <v>4.43</v>
      </c>
      <c r="Q43" s="623"/>
      <c r="R43" s="624"/>
      <c r="S43" s="625"/>
      <c r="T43" s="625"/>
      <c r="U43" s="625"/>
      <c r="V43" s="625"/>
      <c r="W43" s="625"/>
      <c r="X43" s="625"/>
      <c r="Y43" s="625"/>
      <c r="Z43" s="625"/>
      <c r="AA43" s="625"/>
      <c r="AB43" s="625"/>
      <c r="AC43" s="625"/>
      <c r="AD43" s="625"/>
      <c r="AE43" s="625"/>
      <c r="AF43" s="625"/>
      <c r="AG43" s="623"/>
    </row>
    <row r="44" spans="2:33" x14ac:dyDescent="0.25">
      <c r="B44" s="630">
        <v>45841</v>
      </c>
      <c r="C44" s="619">
        <v>4.24</v>
      </c>
      <c r="D44" s="619">
        <v>4.22</v>
      </c>
      <c r="E44" s="620">
        <v>5.34</v>
      </c>
      <c r="F44" s="619">
        <v>4.2</v>
      </c>
      <c r="G44" s="619">
        <v>4.1100000000000003</v>
      </c>
      <c r="H44" s="619">
        <v>3.89</v>
      </c>
      <c r="I44" s="620">
        <v>3.99</v>
      </c>
      <c r="J44" s="620">
        <v>3.76</v>
      </c>
      <c r="K44" s="620">
        <v>3.73</v>
      </c>
      <c r="L44" s="620">
        <v>3.79</v>
      </c>
      <c r="M44" s="619">
        <v>4.66</v>
      </c>
      <c r="N44" s="619">
        <v>4.66</v>
      </c>
      <c r="O44">
        <v>4.18</v>
      </c>
      <c r="Q44" s="623"/>
      <c r="R44" s="624"/>
      <c r="S44" s="625"/>
      <c r="T44" s="625"/>
      <c r="U44" s="625"/>
      <c r="V44" s="625"/>
      <c r="W44" s="625"/>
      <c r="X44" s="625"/>
      <c r="Y44" s="625"/>
      <c r="Z44" s="625"/>
      <c r="AA44" s="625"/>
      <c r="AB44" s="625"/>
      <c r="AC44" s="625"/>
      <c r="AD44" s="625"/>
      <c r="AE44" s="625"/>
      <c r="AF44" s="625"/>
      <c r="AG44" s="623"/>
    </row>
    <row r="45" spans="2:33" x14ac:dyDescent="0.25">
      <c r="B45" s="630">
        <v>45933</v>
      </c>
      <c r="C45" s="619">
        <v>4.24</v>
      </c>
      <c r="D45" s="619">
        <v>4.2300000000000004</v>
      </c>
      <c r="E45" s="620">
        <v>5.43</v>
      </c>
      <c r="F45" s="619">
        <v>4.1900000000000004</v>
      </c>
      <c r="G45" s="619">
        <v>4.07</v>
      </c>
      <c r="H45" s="619">
        <v>3.83</v>
      </c>
      <c r="I45" s="620">
        <v>4.41</v>
      </c>
      <c r="J45" s="620">
        <v>4.16</v>
      </c>
      <c r="K45" s="620">
        <v>4.0599999999999996</v>
      </c>
      <c r="L45" s="620">
        <v>4.09</v>
      </c>
      <c r="M45" s="619">
        <v>4.57</v>
      </c>
      <c r="N45" s="619">
        <v>4.58</v>
      </c>
      <c r="O45">
        <v>4.3099999999999996</v>
      </c>
      <c r="Q45" s="623"/>
      <c r="R45" s="624"/>
      <c r="S45" s="625"/>
      <c r="T45" s="625"/>
      <c r="U45" s="625"/>
      <c r="V45" s="625"/>
      <c r="W45" s="625"/>
      <c r="X45" s="625"/>
      <c r="Y45" s="625"/>
      <c r="Z45" s="625"/>
      <c r="AA45" s="625"/>
      <c r="AB45" s="625"/>
      <c r="AC45" s="625"/>
      <c r="AD45" s="625"/>
      <c r="AE45" s="625"/>
      <c r="AF45" s="625"/>
      <c r="AG45" s="623"/>
    </row>
    <row r="46" spans="2:33" x14ac:dyDescent="0.25">
      <c r="B46" s="630">
        <v>45964</v>
      </c>
      <c r="C46" s="619">
        <v>4.2300000000000004</v>
      </c>
      <c r="D46" s="619">
        <v>4.22</v>
      </c>
      <c r="E46" s="620">
        <v>5.47</v>
      </c>
      <c r="F46" s="619">
        <v>4.2</v>
      </c>
      <c r="G46" s="619">
        <v>4.09</v>
      </c>
      <c r="H46" s="619">
        <v>3.87</v>
      </c>
      <c r="I46" s="620">
        <v>4.5</v>
      </c>
      <c r="J46" s="620">
        <v>4.28</v>
      </c>
      <c r="K46" s="620">
        <v>4.07</v>
      </c>
      <c r="L46" s="620">
        <v>4.09</v>
      </c>
      <c r="M46" s="619">
        <v>4.63</v>
      </c>
      <c r="N46" s="619">
        <v>4.63</v>
      </c>
      <c r="O46">
        <v>4.25</v>
      </c>
      <c r="Q46" s="623"/>
      <c r="R46" s="625"/>
      <c r="S46" s="625"/>
      <c r="T46" s="625"/>
      <c r="U46" s="625"/>
      <c r="V46" s="625"/>
      <c r="W46" s="625"/>
      <c r="X46" s="625"/>
      <c r="Y46" s="625"/>
      <c r="Z46" s="625"/>
      <c r="AA46" s="625"/>
      <c r="AB46" s="625"/>
      <c r="AC46" s="625"/>
      <c r="AD46" s="625"/>
      <c r="AE46" s="625"/>
      <c r="AF46" s="625"/>
      <c r="AG46" s="623"/>
    </row>
    <row r="47" spans="2:33" x14ac:dyDescent="0.25">
      <c r="B47" s="630">
        <v>45994</v>
      </c>
      <c r="C47" s="619">
        <v>4.22</v>
      </c>
      <c r="D47" s="619">
        <v>4.22</v>
      </c>
      <c r="E47" s="620">
        <v>5.45</v>
      </c>
      <c r="F47" s="619">
        <v>4.21</v>
      </c>
      <c r="G47" s="619">
        <v>4.0999999999999996</v>
      </c>
      <c r="H47" s="619">
        <v>3.91</v>
      </c>
      <c r="I47" s="620">
        <v>4.82</v>
      </c>
      <c r="J47" s="620">
        <v>4.5999999999999996</v>
      </c>
      <c r="K47" s="620">
        <v>4.4800000000000004</v>
      </c>
      <c r="L47" s="620">
        <v>4.47</v>
      </c>
      <c r="M47" s="619">
        <v>4.66</v>
      </c>
      <c r="N47" s="619">
        <v>4.67</v>
      </c>
      <c r="O47">
        <v>4.6100000000000003</v>
      </c>
      <c r="Q47" s="623"/>
      <c r="R47" s="623"/>
      <c r="S47" s="623"/>
      <c r="T47" s="626"/>
      <c r="U47" s="626"/>
      <c r="V47" s="623"/>
      <c r="W47" s="623"/>
      <c r="X47" s="623"/>
      <c r="Y47" s="623"/>
      <c r="Z47" s="623"/>
      <c r="AA47" s="623"/>
      <c r="AB47" s="623"/>
      <c r="AC47" s="623"/>
      <c r="AD47" s="623"/>
      <c r="AE47" s="623"/>
      <c r="AF47" s="623"/>
      <c r="AG47" s="623"/>
    </row>
    <row r="48" spans="2:33" x14ac:dyDescent="0.25">
      <c r="B48" s="631" t="s">
        <v>667</v>
      </c>
      <c r="C48" s="619">
        <v>4.2300000000000004</v>
      </c>
      <c r="D48" s="619">
        <v>4.22</v>
      </c>
      <c r="E48" s="620">
        <v>5.52</v>
      </c>
      <c r="F48" s="619">
        <v>4.2</v>
      </c>
      <c r="G48" s="619">
        <v>4.09</v>
      </c>
      <c r="H48" s="619">
        <v>3.87</v>
      </c>
      <c r="I48" s="620">
        <v>4.87</v>
      </c>
      <c r="J48" s="620">
        <v>4.6500000000000004</v>
      </c>
      <c r="K48" s="620">
        <v>4.46</v>
      </c>
      <c r="L48" s="620">
        <v>4.45</v>
      </c>
      <c r="M48" s="619">
        <v>4.62</v>
      </c>
      <c r="N48" s="621">
        <v>4.63</v>
      </c>
      <c r="O48">
        <v>4.55</v>
      </c>
      <c r="T48" s="291"/>
      <c r="U48" s="291"/>
    </row>
    <row r="49" spans="2:26" x14ac:dyDescent="0.25">
      <c r="B49" s="631" t="s">
        <v>668</v>
      </c>
      <c r="C49">
        <v>5.5</v>
      </c>
      <c r="D49">
        <v>5.43</v>
      </c>
      <c r="E49">
        <v>5.34</v>
      </c>
      <c r="F49">
        <v>5.21</v>
      </c>
      <c r="G49">
        <v>4.99</v>
      </c>
      <c r="H49">
        <v>4.45</v>
      </c>
      <c r="I49">
        <v>4</v>
      </c>
      <c r="J49">
        <v>3.81</v>
      </c>
      <c r="K49">
        <v>3.79</v>
      </c>
      <c r="L49">
        <v>3.85</v>
      </c>
      <c r="M49">
        <v>3.96</v>
      </c>
      <c r="N49">
        <v>4.3499999999999996</v>
      </c>
      <c r="O49">
        <v>4.26</v>
      </c>
      <c r="Q49" s="623"/>
      <c r="R49" s="624"/>
      <c r="S49" s="625"/>
      <c r="T49" s="625"/>
      <c r="U49" s="625"/>
      <c r="V49" s="624"/>
      <c r="W49" s="625"/>
      <c r="X49" s="625"/>
      <c r="Y49" s="625"/>
      <c r="Z49" s="623"/>
    </row>
    <row r="50" spans="2:26" x14ac:dyDescent="0.25">
      <c r="B50" s="622" t="s">
        <v>669</v>
      </c>
      <c r="C50">
        <v>5.54</v>
      </c>
      <c r="D50">
        <v>5.48</v>
      </c>
      <c r="E50">
        <v>5.49</v>
      </c>
      <c r="F50">
        <v>5.39</v>
      </c>
      <c r="G50">
        <v>5.24</v>
      </c>
      <c r="H50">
        <v>4.82</v>
      </c>
      <c r="I50">
        <v>4.3600000000000003</v>
      </c>
      <c r="J50">
        <v>4.1100000000000003</v>
      </c>
      <c r="K50">
        <v>3.97</v>
      </c>
      <c r="L50">
        <v>3.99</v>
      </c>
      <c r="M50">
        <v>4.01</v>
      </c>
      <c r="N50">
        <v>4.33</v>
      </c>
      <c r="O50">
        <v>4.17</v>
      </c>
      <c r="Q50" s="623"/>
      <c r="R50" s="624"/>
      <c r="S50" s="625"/>
      <c r="T50" s="625"/>
      <c r="U50" s="625"/>
      <c r="V50" s="624"/>
      <c r="W50" s="625"/>
      <c r="X50" s="625"/>
      <c r="Y50" s="625"/>
      <c r="Z50" s="623"/>
    </row>
    <row r="51" spans="2:26" x14ac:dyDescent="0.25">
      <c r="B51" s="622" t="s">
        <v>670</v>
      </c>
      <c r="C51">
        <v>5.49</v>
      </c>
      <c r="D51">
        <v>5.51</v>
      </c>
      <c r="E51">
        <v>5.44</v>
      </c>
      <c r="F51">
        <v>5.42</v>
      </c>
      <c r="G51">
        <v>5.24</v>
      </c>
      <c r="H51">
        <v>4.83</v>
      </c>
      <c r="I51">
        <v>4.46</v>
      </c>
      <c r="J51">
        <v>4.22</v>
      </c>
      <c r="K51">
        <v>4.12</v>
      </c>
      <c r="L51">
        <v>4.1500000000000004</v>
      </c>
      <c r="M51">
        <v>4.1500000000000004</v>
      </c>
      <c r="N51">
        <v>4.47</v>
      </c>
      <c r="O51">
        <v>4.3600000000000003</v>
      </c>
      <c r="Q51" s="623"/>
      <c r="R51" s="624"/>
      <c r="S51" s="625"/>
      <c r="T51" s="625"/>
      <c r="U51" s="625"/>
      <c r="V51" s="624"/>
      <c r="W51" s="625"/>
      <c r="X51" s="625"/>
      <c r="Y51" s="625"/>
      <c r="Z51" s="623"/>
    </row>
    <row r="52" spans="2:26" x14ac:dyDescent="0.25">
      <c r="B52" s="622" t="s">
        <v>671</v>
      </c>
      <c r="C52">
        <v>5.51</v>
      </c>
      <c r="D52">
        <v>5.48</v>
      </c>
      <c r="E52">
        <v>5.46</v>
      </c>
      <c r="F52">
        <v>5.4</v>
      </c>
      <c r="G52">
        <v>5.34</v>
      </c>
      <c r="H52">
        <v>4.92</v>
      </c>
      <c r="I52">
        <v>4.4800000000000004</v>
      </c>
      <c r="J52">
        <v>4.25</v>
      </c>
      <c r="K52">
        <v>4.0599999999999996</v>
      </c>
      <c r="L52">
        <v>4.08</v>
      </c>
      <c r="M52">
        <v>4.09</v>
      </c>
      <c r="N52">
        <v>4.3600000000000003</v>
      </c>
      <c r="O52">
        <v>4.26</v>
      </c>
      <c r="Q52" s="623"/>
      <c r="R52" s="624"/>
      <c r="S52" s="625"/>
      <c r="T52" s="625"/>
      <c r="U52" s="625"/>
      <c r="V52" s="624"/>
      <c r="W52" s="625"/>
      <c r="X52" s="625"/>
      <c r="Y52" s="625"/>
      <c r="Z52" s="623"/>
    </row>
    <row r="53" spans="2:26" x14ac:dyDescent="0.25">
      <c r="B53" s="622" t="s">
        <v>672</v>
      </c>
      <c r="C53">
        <v>5.48</v>
      </c>
      <c r="D53">
        <v>5.49</v>
      </c>
      <c r="E53">
        <v>5.43</v>
      </c>
      <c r="F53">
        <v>5.41</v>
      </c>
      <c r="G53">
        <v>5.35</v>
      </c>
      <c r="H53">
        <v>5.07</v>
      </c>
      <c r="I53">
        <v>4.78</v>
      </c>
      <c r="J53">
        <v>4.5999999999999996</v>
      </c>
      <c r="K53">
        <v>4.43</v>
      </c>
      <c r="L53">
        <v>4.43</v>
      </c>
      <c r="M53">
        <v>4.42</v>
      </c>
      <c r="N53">
        <v>4.6500000000000004</v>
      </c>
      <c r="O53">
        <v>4.55</v>
      </c>
      <c r="Q53" s="623"/>
      <c r="R53" s="624"/>
      <c r="S53" s="625"/>
      <c r="T53" s="625"/>
      <c r="U53" s="625"/>
      <c r="V53" s="624"/>
      <c r="W53" s="625"/>
      <c r="X53" s="625"/>
      <c r="Y53" s="625"/>
      <c r="Z53" s="623"/>
    </row>
    <row r="54" spans="2:26" x14ac:dyDescent="0.25">
      <c r="B54" s="622" t="s">
        <v>673</v>
      </c>
      <c r="C54">
        <v>5.51</v>
      </c>
      <c r="D54">
        <v>5.47</v>
      </c>
      <c r="E54">
        <v>5.45</v>
      </c>
      <c r="F54">
        <v>5.5</v>
      </c>
      <c r="G54">
        <v>5.41</v>
      </c>
      <c r="H54">
        <v>5.13</v>
      </c>
      <c r="I54">
        <v>4.84</v>
      </c>
      <c r="J54">
        <v>4.63</v>
      </c>
      <c r="K54">
        <v>4.5</v>
      </c>
      <c r="L54">
        <v>4.49</v>
      </c>
      <c r="M54">
        <v>4.4800000000000004</v>
      </c>
      <c r="N54">
        <v>4.7300000000000004</v>
      </c>
      <c r="O54">
        <v>4.6399999999999997</v>
      </c>
      <c r="Q54" s="623"/>
      <c r="R54" s="624"/>
      <c r="S54" s="625"/>
      <c r="T54" s="625"/>
      <c r="U54" s="625"/>
      <c r="V54" s="624"/>
      <c r="W54" s="625"/>
      <c r="X54" s="625"/>
      <c r="Y54" s="625"/>
      <c r="Z54" s="623"/>
    </row>
    <row r="55" spans="2:26" x14ac:dyDescent="0.25">
      <c r="B55" s="622" t="s">
        <v>674</v>
      </c>
      <c r="C55">
        <v>5.48</v>
      </c>
      <c r="D55">
        <v>5.53</v>
      </c>
      <c r="E55">
        <v>5.46</v>
      </c>
      <c r="F55">
        <v>5.46</v>
      </c>
      <c r="G55">
        <v>5.33</v>
      </c>
      <c r="H55">
        <v>4.99</v>
      </c>
      <c r="I55">
        <v>4.62</v>
      </c>
      <c r="J55">
        <v>4.4000000000000004</v>
      </c>
      <c r="K55">
        <v>4.2300000000000004</v>
      </c>
      <c r="L55">
        <v>4.2300000000000004</v>
      </c>
      <c r="M55">
        <v>4.28</v>
      </c>
      <c r="N55">
        <v>4.57</v>
      </c>
      <c r="O55">
        <v>4.46</v>
      </c>
      <c r="Q55" s="623"/>
      <c r="R55" s="624"/>
      <c r="S55" s="625"/>
      <c r="T55" s="625"/>
      <c r="U55" s="625"/>
      <c r="V55" s="624"/>
      <c r="W55" s="625"/>
      <c r="X55" s="625"/>
      <c r="Y55" s="625"/>
      <c r="Z55" s="623"/>
    </row>
    <row r="56" spans="2:26" x14ac:dyDescent="0.25">
      <c r="B56" s="622" t="s">
        <v>675</v>
      </c>
      <c r="C56">
        <v>5.53</v>
      </c>
      <c r="D56">
        <v>5.46</v>
      </c>
      <c r="E56">
        <v>5.47</v>
      </c>
      <c r="F56">
        <v>5.38</v>
      </c>
      <c r="G56">
        <v>5.24</v>
      </c>
      <c r="H56">
        <v>4.82</v>
      </c>
      <c r="I56">
        <v>4.3600000000000003</v>
      </c>
      <c r="J56">
        <v>4.09</v>
      </c>
      <c r="K56">
        <v>3.97</v>
      </c>
      <c r="L56">
        <v>4</v>
      </c>
      <c r="M56">
        <v>4.0199999999999996</v>
      </c>
      <c r="N56">
        <v>4.33</v>
      </c>
      <c r="O56">
        <v>4.18</v>
      </c>
      <c r="Q56" s="623"/>
      <c r="R56" s="624"/>
      <c r="S56" s="625"/>
      <c r="T56" s="625"/>
      <c r="U56" s="625"/>
      <c r="V56" s="625"/>
      <c r="W56" s="625"/>
      <c r="X56" s="625"/>
      <c r="Y56" s="625"/>
      <c r="Z56" s="623"/>
    </row>
  </sheetData>
  <hyperlinks>
    <hyperlink ref="C9" r:id="rId1" display="US Department of TheTreasury" xr:uid="{9E7460E0-DA10-4AE4-B5FE-C6450805A93C}"/>
  </hyperlinks>
  <pageMargins left="0.70866141732283472" right="0.70866141732283472" top="0.74803149606299213" bottom="0.74803149606299213" header="0.31496062992125984" footer="0.31496062992125984"/>
  <pageSetup scale="47"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F2BC-9BAA-4AD0-A8BD-95A9CE48BB6A}">
  <dimension ref="B2:R38"/>
  <sheetViews>
    <sheetView topLeftCell="A15" zoomScale="80" zoomScaleNormal="80" workbookViewId="0">
      <selection activeCell="H41" sqref="H41"/>
    </sheetView>
  </sheetViews>
  <sheetFormatPr defaultRowHeight="15" x14ac:dyDescent="0.25"/>
  <sheetData>
    <row r="2" spans="2:18" x14ac:dyDescent="0.25">
      <c r="B2" t="s">
        <v>0</v>
      </c>
    </row>
    <row r="3" spans="2:18" x14ac:dyDescent="0.25">
      <c r="B3">
        <v>1</v>
      </c>
      <c r="C3" t="s">
        <v>1</v>
      </c>
    </row>
    <row r="4" spans="2:18" x14ac:dyDescent="0.25">
      <c r="B4">
        <v>2</v>
      </c>
      <c r="C4" t="s">
        <v>2</v>
      </c>
    </row>
    <row r="5" spans="2:18" x14ac:dyDescent="0.25">
      <c r="B5">
        <v>3</v>
      </c>
      <c r="C5" t="s">
        <v>3</v>
      </c>
      <c r="K5" s="114" t="s">
        <v>188</v>
      </c>
      <c r="L5" s="114"/>
      <c r="M5" s="114"/>
      <c r="N5" s="114"/>
      <c r="O5" s="114"/>
      <c r="P5" s="114"/>
      <c r="Q5" s="114"/>
      <c r="R5" s="114"/>
    </row>
    <row r="6" spans="2:18" x14ac:dyDescent="0.25">
      <c r="K6" s="114">
        <v>1</v>
      </c>
      <c r="L6" s="114" t="s">
        <v>189</v>
      </c>
      <c r="M6" s="114"/>
      <c r="N6" s="114"/>
      <c r="O6" s="114"/>
      <c r="P6" s="114"/>
      <c r="Q6" s="114"/>
      <c r="R6" s="114"/>
    </row>
    <row r="7" spans="2:18" x14ac:dyDescent="0.25">
      <c r="K7" s="114">
        <v>2</v>
      </c>
      <c r="L7" s="114" t="s">
        <v>190</v>
      </c>
      <c r="M7" s="114"/>
      <c r="N7" s="114"/>
      <c r="O7" s="114"/>
      <c r="P7" s="114"/>
      <c r="Q7" s="114"/>
      <c r="R7" s="114"/>
    </row>
    <row r="8" spans="2:18" x14ac:dyDescent="0.25">
      <c r="B8" t="s">
        <v>4</v>
      </c>
      <c r="K8" s="114">
        <v>3</v>
      </c>
      <c r="L8" s="114" t="s">
        <v>191</v>
      </c>
      <c r="M8" s="114"/>
      <c r="N8" s="114"/>
      <c r="O8" s="114"/>
      <c r="P8" s="114"/>
      <c r="Q8" s="114"/>
      <c r="R8" s="114"/>
    </row>
    <row r="9" spans="2:18" x14ac:dyDescent="0.25">
      <c r="K9" s="114">
        <v>4</v>
      </c>
      <c r="L9" s="114" t="s">
        <v>192</v>
      </c>
      <c r="M9" s="114"/>
      <c r="N9" s="114"/>
      <c r="O9" s="114"/>
      <c r="P9" s="114"/>
      <c r="Q9" s="114"/>
      <c r="R9" s="114"/>
    </row>
    <row r="10" spans="2:18" x14ac:dyDescent="0.25">
      <c r="E10" t="s">
        <v>5</v>
      </c>
      <c r="F10" t="s">
        <v>12</v>
      </c>
      <c r="K10" s="114">
        <v>5</v>
      </c>
      <c r="L10" s="114" t="s">
        <v>193</v>
      </c>
      <c r="M10" s="114"/>
      <c r="N10" s="114"/>
      <c r="O10" s="114"/>
      <c r="P10" s="114"/>
      <c r="Q10" s="114"/>
      <c r="R10" s="114"/>
    </row>
    <row r="11" spans="2:18" x14ac:dyDescent="0.25">
      <c r="D11">
        <v>1</v>
      </c>
      <c r="E11" t="s">
        <v>6</v>
      </c>
      <c r="F11" t="s">
        <v>9</v>
      </c>
      <c r="K11" s="114">
        <v>6</v>
      </c>
      <c r="L11" s="114" t="s">
        <v>194</v>
      </c>
      <c r="M11" s="114"/>
      <c r="N11" s="114"/>
      <c r="O11" s="114"/>
      <c r="P11" s="114"/>
      <c r="Q11" s="114"/>
      <c r="R11" s="114"/>
    </row>
    <row r="12" spans="2:18" x14ac:dyDescent="0.25">
      <c r="D12">
        <v>2</v>
      </c>
      <c r="E12" t="s">
        <v>7</v>
      </c>
      <c r="F12" t="s">
        <v>10</v>
      </c>
      <c r="K12" s="114">
        <v>7</v>
      </c>
      <c r="L12" s="114" t="s">
        <v>195</v>
      </c>
      <c r="M12" s="114"/>
      <c r="N12" s="114"/>
      <c r="O12" s="114"/>
      <c r="P12" s="114"/>
      <c r="Q12" s="114"/>
      <c r="R12" s="114"/>
    </row>
    <row r="13" spans="2:18" x14ac:dyDescent="0.25">
      <c r="D13">
        <v>3</v>
      </c>
      <c r="E13" t="s">
        <v>8</v>
      </c>
      <c r="F13" t="s">
        <v>11</v>
      </c>
      <c r="K13" s="114"/>
      <c r="L13" s="114"/>
      <c r="M13" s="114"/>
      <c r="N13" s="114"/>
      <c r="O13" s="114"/>
      <c r="P13" s="114"/>
      <c r="Q13" s="114"/>
      <c r="R13" s="114"/>
    </row>
    <row r="14" spans="2:18" x14ac:dyDescent="0.25">
      <c r="K14" s="114"/>
      <c r="L14" s="114"/>
      <c r="M14" s="114"/>
      <c r="N14" s="114"/>
      <c r="O14" s="114"/>
      <c r="P14" s="114"/>
      <c r="Q14" s="114"/>
      <c r="R14" s="114"/>
    </row>
    <row r="15" spans="2:18" x14ac:dyDescent="0.25">
      <c r="K15" s="114"/>
      <c r="L15" s="114"/>
      <c r="M15" s="114"/>
      <c r="N15" s="114"/>
      <c r="O15" s="114"/>
      <c r="P15" s="114"/>
      <c r="Q15" s="114"/>
      <c r="R15" s="114"/>
    </row>
    <row r="16" spans="2:18" x14ac:dyDescent="0.25">
      <c r="K16" s="114"/>
      <c r="L16" s="114"/>
      <c r="M16" s="114"/>
      <c r="N16" s="114"/>
      <c r="O16" s="114"/>
      <c r="P16" s="114"/>
      <c r="Q16" s="114"/>
      <c r="R16" s="114"/>
    </row>
    <row r="17" spans="2:18" x14ac:dyDescent="0.25">
      <c r="K17" s="114"/>
      <c r="L17" s="114"/>
      <c r="M17" s="114"/>
      <c r="N17" s="114"/>
      <c r="O17" s="114"/>
      <c r="P17" s="114"/>
      <c r="Q17" s="114"/>
      <c r="R17" s="114"/>
    </row>
    <row r="18" spans="2:18" x14ac:dyDescent="0.25">
      <c r="K18" s="114"/>
      <c r="L18" s="114"/>
      <c r="M18" s="114"/>
      <c r="N18" s="114"/>
      <c r="O18" s="114"/>
      <c r="P18" s="114"/>
      <c r="Q18" s="114"/>
      <c r="R18" s="114"/>
    </row>
    <row r="19" spans="2:18" x14ac:dyDescent="0.25">
      <c r="B19" t="s">
        <v>16</v>
      </c>
    </row>
    <row r="20" spans="2:18" x14ac:dyDescent="0.25">
      <c r="B20" s="8">
        <v>1234</v>
      </c>
      <c r="C20" s="8" t="s">
        <v>17</v>
      </c>
      <c r="H20" s="11">
        <v>2019</v>
      </c>
    </row>
    <row r="21" spans="2:18" x14ac:dyDescent="0.25">
      <c r="B21" s="9">
        <v>1234</v>
      </c>
      <c r="C21" s="9" t="s">
        <v>18</v>
      </c>
      <c r="H21" s="10">
        <v>2019</v>
      </c>
    </row>
    <row r="22" spans="2:18" x14ac:dyDescent="0.25">
      <c r="B22">
        <v>1234</v>
      </c>
      <c r="C22" t="s">
        <v>19</v>
      </c>
    </row>
    <row r="25" spans="2:18" x14ac:dyDescent="0.25">
      <c r="B25" t="s">
        <v>123</v>
      </c>
    </row>
    <row r="27" spans="2:18" x14ac:dyDescent="0.25">
      <c r="B27" t="s">
        <v>124</v>
      </c>
      <c r="C27" t="s">
        <v>125</v>
      </c>
    </row>
    <row r="28" spans="2:18" x14ac:dyDescent="0.25">
      <c r="C28" t="s">
        <v>126</v>
      </c>
    </row>
    <row r="30" spans="2:18" x14ac:dyDescent="0.25">
      <c r="B30" t="s">
        <v>127</v>
      </c>
      <c r="C30" t="s">
        <v>128</v>
      </c>
    </row>
    <row r="31" spans="2:18" x14ac:dyDescent="0.25">
      <c r="C31" t="s">
        <v>126</v>
      </c>
    </row>
    <row r="33" spans="2:3" x14ac:dyDescent="0.25">
      <c r="B33" t="s">
        <v>129</v>
      </c>
      <c r="C33" t="s">
        <v>130</v>
      </c>
    </row>
    <row r="34" spans="2:3" x14ac:dyDescent="0.25">
      <c r="C34" t="s">
        <v>131</v>
      </c>
    </row>
    <row r="36" spans="2:3" x14ac:dyDescent="0.25">
      <c r="B36" t="s">
        <v>132</v>
      </c>
    </row>
    <row r="38" spans="2:3" x14ac:dyDescent="0.25">
      <c r="B38" t="s">
        <v>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E72D-64FC-46BC-B58D-D81F49153657}">
  <dimension ref="C2:AL46"/>
  <sheetViews>
    <sheetView showGridLines="0" topLeftCell="K1" zoomScale="80" zoomScaleNormal="80" workbookViewId="0">
      <selection activeCell="M2" sqref="M2"/>
    </sheetView>
  </sheetViews>
  <sheetFormatPr defaultRowHeight="15" x14ac:dyDescent="0.25"/>
  <cols>
    <col min="3" max="3" width="20.5703125" bestFit="1" customWidth="1"/>
    <col min="4" max="4" width="5.85546875" bestFit="1" customWidth="1"/>
    <col min="5" max="5" width="16.28515625" bestFit="1" customWidth="1"/>
    <col min="6" max="6" width="18.7109375" bestFit="1" customWidth="1"/>
    <col min="7" max="7" width="7.85546875" bestFit="1" customWidth="1"/>
    <col min="8" max="8" width="12" bestFit="1" customWidth="1"/>
    <col min="9" max="9" width="10.28515625" bestFit="1" customWidth="1"/>
    <col min="10" max="10" width="11.7109375" bestFit="1" customWidth="1"/>
    <col min="11" max="11" width="8.85546875" style="298"/>
    <col min="12" max="12" width="23.42578125" bestFit="1" customWidth="1"/>
    <col min="13" max="13" width="19.7109375" bestFit="1" customWidth="1"/>
    <col min="14" max="14" width="11.140625" bestFit="1" customWidth="1"/>
    <col min="15" max="15" width="12.140625" bestFit="1" customWidth="1"/>
    <col min="16" max="16" width="12.140625" customWidth="1"/>
    <col min="17" max="17" width="8.85546875" style="298"/>
    <col min="18" max="18" width="23.42578125" bestFit="1" customWidth="1"/>
    <col min="19" max="19" width="19.85546875" bestFit="1" customWidth="1"/>
    <col min="24" max="24" width="8.85546875" style="298"/>
    <col min="25" max="25" width="17.7109375" bestFit="1" customWidth="1"/>
  </cols>
  <sheetData>
    <row r="2" spans="3:26" x14ac:dyDescent="0.25">
      <c r="C2" s="31" t="s">
        <v>496</v>
      </c>
      <c r="L2" t="s">
        <v>523</v>
      </c>
      <c r="M2" s="53" t="s">
        <v>520</v>
      </c>
      <c r="R2" t="s">
        <v>524</v>
      </c>
      <c r="S2" t="s">
        <v>521</v>
      </c>
      <c r="Y2" t="s">
        <v>525</v>
      </c>
      <c r="Z2" t="s">
        <v>522</v>
      </c>
    </row>
    <row r="3" spans="3:26" ht="20.45" customHeight="1" x14ac:dyDescent="0.25"/>
    <row r="17" spans="3:38" x14ac:dyDescent="0.25">
      <c r="AL17" s="91"/>
    </row>
    <row r="18" spans="3:38" x14ac:dyDescent="0.25">
      <c r="AL18" s="92"/>
    </row>
    <row r="19" spans="3:38" x14ac:dyDescent="0.25">
      <c r="AL19" s="93"/>
    </row>
    <row r="20" spans="3:38" x14ac:dyDescent="0.25">
      <c r="AL20" s="94"/>
    </row>
    <row r="21" spans="3:38" x14ac:dyDescent="0.25">
      <c r="AL21" s="95"/>
    </row>
    <row r="29" spans="3:38" ht="15.75" thickBot="1" x14ac:dyDescent="0.3"/>
    <row r="30" spans="3:38" ht="19.5" thickBot="1" x14ac:dyDescent="0.35">
      <c r="C30" s="667" t="s">
        <v>184</v>
      </c>
      <c r="D30" s="667"/>
      <c r="E30" s="667"/>
      <c r="F30" s="667"/>
      <c r="G30" s="667"/>
      <c r="H30" s="667"/>
      <c r="I30" s="667"/>
    </row>
    <row r="31" spans="3:38" ht="15.75" thickBot="1" x14ac:dyDescent="0.3">
      <c r="C31" s="103" t="s">
        <v>20</v>
      </c>
      <c r="D31" s="103" t="s">
        <v>44</v>
      </c>
      <c r="E31" s="103" t="s">
        <v>176</v>
      </c>
      <c r="F31" s="103" t="s">
        <v>181</v>
      </c>
      <c r="G31" s="103" t="s">
        <v>177</v>
      </c>
      <c r="H31" s="103" t="s">
        <v>178</v>
      </c>
      <c r="I31" s="103" t="s">
        <v>179</v>
      </c>
    </row>
    <row r="32" spans="3:38" ht="15.75" thickBot="1" x14ac:dyDescent="0.3">
      <c r="C32" s="104" t="s">
        <v>173</v>
      </c>
      <c r="D32" s="104" t="s">
        <v>48</v>
      </c>
      <c r="E32" s="104">
        <v>77.739999999999995</v>
      </c>
      <c r="F32" s="104">
        <v>84.1</v>
      </c>
      <c r="G32" s="104">
        <v>29.6</v>
      </c>
      <c r="H32" s="104">
        <v>3.91</v>
      </c>
      <c r="I32" s="104">
        <v>19.09</v>
      </c>
    </row>
    <row r="33" spans="3:9" ht="15.75" thickBot="1" x14ac:dyDescent="0.3">
      <c r="C33" s="105" t="s">
        <v>174</v>
      </c>
      <c r="D33" s="105" t="s">
        <v>170</v>
      </c>
      <c r="E33" s="105">
        <v>392.75</v>
      </c>
      <c r="F33" s="105">
        <v>415.8</v>
      </c>
      <c r="G33" s="105">
        <v>26.99</v>
      </c>
      <c r="H33" s="105">
        <v>4.8600000000000003</v>
      </c>
      <c r="I33" s="105">
        <v>18.149999999999999</v>
      </c>
    </row>
    <row r="34" spans="3:9" ht="15.75" thickBot="1" x14ac:dyDescent="0.3">
      <c r="C34" s="106" t="s">
        <v>175</v>
      </c>
      <c r="D34" s="106" t="s">
        <v>171</v>
      </c>
      <c r="E34" s="106">
        <v>46.95</v>
      </c>
      <c r="F34" s="106">
        <v>52.64</v>
      </c>
      <c r="G34" s="106">
        <v>24.81</v>
      </c>
      <c r="H34" s="106">
        <v>2.25</v>
      </c>
      <c r="I34" s="106">
        <v>16.8</v>
      </c>
    </row>
    <row r="35" spans="3:9" ht="15.75" thickBot="1" x14ac:dyDescent="0.3">
      <c r="C35" s="107" t="s">
        <v>169</v>
      </c>
      <c r="D35" s="107" t="s">
        <v>172</v>
      </c>
      <c r="E35" s="107">
        <v>16.489999999999998</v>
      </c>
      <c r="F35" s="107">
        <v>19.059999999999999</v>
      </c>
      <c r="G35" s="107">
        <v>67.5</v>
      </c>
      <c r="H35" s="107">
        <v>2.27</v>
      </c>
      <c r="I35" s="107">
        <v>27.71</v>
      </c>
    </row>
    <row r="36" spans="3:9" x14ac:dyDescent="0.25">
      <c r="C36" s="109" t="s">
        <v>185</v>
      </c>
    </row>
    <row r="42" spans="3:9" x14ac:dyDescent="0.25">
      <c r="C42" t="s">
        <v>168</v>
      </c>
      <c r="D42" t="s">
        <v>180</v>
      </c>
      <c r="E42" t="s">
        <v>182</v>
      </c>
      <c r="F42" t="s">
        <v>183</v>
      </c>
    </row>
    <row r="43" spans="3:9" x14ac:dyDescent="0.25">
      <c r="C43" t="s">
        <v>174</v>
      </c>
      <c r="D43">
        <v>84.06</v>
      </c>
      <c r="E43">
        <v>42.95</v>
      </c>
      <c r="F43" s="108">
        <f t="shared" ref="F43" si="0">E43/D43</f>
        <v>0.51094456340709016</v>
      </c>
    </row>
    <row r="44" spans="3:9" x14ac:dyDescent="0.25">
      <c r="C44" t="s">
        <v>173</v>
      </c>
      <c r="D44">
        <v>19.75</v>
      </c>
      <c r="E44">
        <v>11.65</v>
      </c>
      <c r="F44" s="108">
        <f>E44/D44</f>
        <v>0.58987341772151902</v>
      </c>
    </row>
    <row r="45" spans="3:9" x14ac:dyDescent="0.25">
      <c r="C45" t="s">
        <v>175</v>
      </c>
      <c r="D45">
        <v>20.39</v>
      </c>
      <c r="E45">
        <v>7.22</v>
      </c>
      <c r="F45" s="108">
        <f t="shared" ref="F45:F46" si="1">E45/D45</f>
        <v>0.35409514467876407</v>
      </c>
    </row>
    <row r="46" spans="3:9" x14ac:dyDescent="0.25">
      <c r="C46" t="s">
        <v>169</v>
      </c>
      <c r="D46">
        <v>7.21</v>
      </c>
      <c r="E46">
        <v>3.03</v>
      </c>
      <c r="F46" s="108">
        <f t="shared" si="1"/>
        <v>0.42024965325936198</v>
      </c>
    </row>
  </sheetData>
  <mergeCells count="1">
    <mergeCell ref="C30:I30"/>
  </mergeCells>
  <hyperlinks>
    <hyperlink ref="M2" r:id="rId1" xr:uid="{5012695C-F5EC-4B1E-8800-2825986EA1A8}"/>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6494-8C61-437B-A357-0BB613070E3E}">
  <sheetPr>
    <tabColor rgb="FFC00000"/>
  </sheetPr>
  <dimension ref="A1"/>
  <sheetViews>
    <sheetView view="pageBreakPreview" zoomScale="80" zoomScaleNormal="100" zoomScaleSheetLayoutView="80" workbookViewId="0"/>
  </sheetViews>
  <sheetFormatPr defaultRowHeight="15" x14ac:dyDescent="0.25"/>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2D19-047A-4CCB-99A0-90E09C538DD7}">
  <dimension ref="A1:Q74"/>
  <sheetViews>
    <sheetView showGridLines="0" view="pageBreakPreview" zoomScale="80" zoomScaleNormal="100" zoomScaleSheetLayoutView="80" workbookViewId="0">
      <selection activeCell="E18" sqref="E18"/>
    </sheetView>
  </sheetViews>
  <sheetFormatPr defaultRowHeight="15" x14ac:dyDescent="0.25"/>
  <cols>
    <col min="1" max="1" width="4" style="31" bestFit="1" customWidth="1"/>
    <col min="2" max="2" width="27.28515625" bestFit="1" customWidth="1"/>
    <col min="3" max="3" width="22.85546875" bestFit="1" customWidth="1"/>
    <col min="4" max="4" width="26.7109375" bestFit="1" customWidth="1"/>
    <col min="5" max="5" width="21.5703125" customWidth="1"/>
    <col min="6" max="6" width="20.5703125" bestFit="1" customWidth="1"/>
    <col min="7" max="7" width="9" customWidth="1"/>
    <col min="8" max="8" width="16.7109375" bestFit="1" customWidth="1"/>
    <col min="9" max="9" width="3" bestFit="1" customWidth="1"/>
  </cols>
  <sheetData>
    <row r="1" spans="1:17" x14ac:dyDescent="0.25">
      <c r="A1"/>
      <c r="P1" s="8"/>
      <c r="Q1" s="156"/>
    </row>
    <row r="2" spans="1:17" x14ac:dyDescent="0.25">
      <c r="A2"/>
    </row>
    <row r="3" spans="1:17" x14ac:dyDescent="0.25">
      <c r="A3"/>
    </row>
    <row r="4" spans="1:17" x14ac:dyDescent="0.25">
      <c r="A4"/>
    </row>
    <row r="5" spans="1:17" x14ac:dyDescent="0.25">
      <c r="A5"/>
    </row>
    <row r="6" spans="1:17" x14ac:dyDescent="0.25">
      <c r="A6"/>
    </row>
    <row r="8" spans="1:17" ht="15.75" thickBot="1" x14ac:dyDescent="0.3"/>
    <row r="9" spans="1:17" s="481" customFormat="1" ht="48.75" thickTop="1" thickBot="1" x14ac:dyDescent="0.3">
      <c r="B9" s="552" t="s">
        <v>20</v>
      </c>
      <c r="C9" s="522" t="s">
        <v>532</v>
      </c>
      <c r="D9" s="522" t="s">
        <v>533</v>
      </c>
      <c r="E9" s="522" t="s">
        <v>534</v>
      </c>
      <c r="F9" s="553" t="s">
        <v>598</v>
      </c>
      <c r="G9" s="522" t="s">
        <v>535</v>
      </c>
      <c r="H9" s="522" t="s">
        <v>597</v>
      </c>
    </row>
    <row r="10" spans="1:17" ht="16.5" thickTop="1" thickBot="1" x14ac:dyDescent="0.3">
      <c r="A10"/>
    </row>
    <row r="11" spans="1:17" ht="16.5" thickTop="1" thickBot="1" x14ac:dyDescent="0.3">
      <c r="A11"/>
      <c r="B11" s="48" t="s">
        <v>536</v>
      </c>
      <c r="C11" s="490" t="str">
        <f>$A$29</f>
        <v xml:space="preserve">[a] </v>
      </c>
      <c r="D11" s="314">
        <f>DCF!$H$20</f>
        <v>4848.2356409527092</v>
      </c>
      <c r="E11" s="487">
        <f>$E$22</f>
        <v>28.24</v>
      </c>
      <c r="F11" s="342">
        <f>D11*E11</f>
        <v>136914.17450050451</v>
      </c>
      <c r="G11" s="430">
        <v>1</v>
      </c>
      <c r="H11" s="342">
        <f>F11*G11</f>
        <v>136914.17450050451</v>
      </c>
    </row>
    <row r="12" spans="1:17" ht="15.75" thickTop="1" x14ac:dyDescent="0.25">
      <c r="A12"/>
      <c r="C12" s="431"/>
    </row>
    <row r="13" spans="1:17" ht="15.75" thickBot="1" x14ac:dyDescent="0.3">
      <c r="A13"/>
      <c r="B13" s="486" t="s">
        <v>474</v>
      </c>
      <c r="C13" s="491" t="str">
        <f>$A$30</f>
        <v xml:space="preserve">[b] </v>
      </c>
      <c r="D13" s="489"/>
      <c r="E13" s="489"/>
      <c r="F13" s="489"/>
      <c r="G13" s="489"/>
      <c r="H13" s="488">
        <f>ROUND(H11,-2)</f>
        <v>136900</v>
      </c>
    </row>
    <row r="14" spans="1:17" ht="15.75" thickTop="1" x14ac:dyDescent="0.25">
      <c r="A14"/>
    </row>
    <row r="15" spans="1:17" x14ac:dyDescent="0.25">
      <c r="A15"/>
      <c r="B15" s="483" t="s">
        <v>604</v>
      </c>
      <c r="C15" s="377"/>
      <c r="D15" s="377"/>
      <c r="E15" s="377"/>
      <c r="F15" s="378"/>
    </row>
    <row r="16" spans="1:17" ht="17.25" x14ac:dyDescent="0.4">
      <c r="A16"/>
      <c r="B16" s="379"/>
      <c r="D16" s="433" t="str">
        <f>"2024E"</f>
        <v>2024E</v>
      </c>
      <c r="E16" s="433"/>
      <c r="F16" s="454"/>
    </row>
    <row r="17" spans="1:6" s="159" customFormat="1" ht="20.45" customHeight="1" thickBot="1" x14ac:dyDescent="0.3">
      <c r="B17" s="492" t="s">
        <v>599</v>
      </c>
      <c r="C17" s="493" t="s">
        <v>44</v>
      </c>
      <c r="D17" s="494" t="s">
        <v>602</v>
      </c>
      <c r="E17" s="493" t="s">
        <v>179</v>
      </c>
      <c r="F17" s="495"/>
    </row>
    <row r="18" spans="1:6" ht="16.5" thickTop="1" thickBot="1" x14ac:dyDescent="0.3">
      <c r="A18"/>
      <c r="B18" s="484" t="s">
        <v>174</v>
      </c>
      <c r="C18" s="431" t="s">
        <v>170</v>
      </c>
      <c r="D18" s="554">
        <v>426.14</v>
      </c>
      <c r="E18" s="485">
        <v>18.87</v>
      </c>
      <c r="F18" s="454"/>
    </row>
    <row r="19" spans="1:6" ht="16.5" thickTop="1" thickBot="1" x14ac:dyDescent="0.3">
      <c r="A19"/>
      <c r="B19" s="484" t="s">
        <v>175</v>
      </c>
      <c r="C19" s="431" t="s">
        <v>171</v>
      </c>
      <c r="D19" s="554">
        <v>54.06</v>
      </c>
      <c r="E19" s="485">
        <v>14.6</v>
      </c>
      <c r="F19" s="454"/>
    </row>
    <row r="20" spans="1:6" ht="16.5" thickTop="1" thickBot="1" x14ac:dyDescent="0.3">
      <c r="A20"/>
      <c r="B20" s="484" t="s">
        <v>169</v>
      </c>
      <c r="C20" s="431" t="s">
        <v>172</v>
      </c>
      <c r="D20" s="554">
        <v>20.420000000000002</v>
      </c>
      <c r="E20" s="485">
        <v>28.24</v>
      </c>
      <c r="F20" s="454"/>
    </row>
    <row r="21" spans="1:6" ht="16.5" thickTop="1" thickBot="1" x14ac:dyDescent="0.3">
      <c r="A21"/>
      <c r="B21" s="379"/>
      <c r="F21" s="454"/>
    </row>
    <row r="22" spans="1:6" ht="16.5" thickTop="1" thickBot="1" x14ac:dyDescent="0.3">
      <c r="A22"/>
      <c r="B22" s="379"/>
      <c r="D22" t="s">
        <v>527</v>
      </c>
      <c r="E22" s="485">
        <f>MAX(E18:E20)</f>
        <v>28.24</v>
      </c>
      <c r="F22" s="454"/>
    </row>
    <row r="23" spans="1:6" ht="16.5" thickTop="1" thickBot="1" x14ac:dyDescent="0.3">
      <c r="A23"/>
      <c r="B23" s="379"/>
      <c r="D23" t="s">
        <v>528</v>
      </c>
      <c r="E23" s="485">
        <f>MIN(E18:E20)</f>
        <v>14.6</v>
      </c>
      <c r="F23" s="454"/>
    </row>
    <row r="24" spans="1:6" ht="16.5" thickTop="1" thickBot="1" x14ac:dyDescent="0.3">
      <c r="A24" s="454"/>
      <c r="B24" s="379"/>
      <c r="D24" t="s">
        <v>529</v>
      </c>
      <c r="E24" s="485">
        <f>AVERAGE(E18:E20)</f>
        <v>20.569999999999997</v>
      </c>
      <c r="F24" s="454"/>
    </row>
    <row r="25" spans="1:6" ht="16.5" thickTop="1" thickBot="1" x14ac:dyDescent="0.3">
      <c r="A25" s="454"/>
      <c r="D25" s="482" t="s">
        <v>530</v>
      </c>
      <c r="E25" s="485">
        <f>MEDIAN(E18:E20)</f>
        <v>18.87</v>
      </c>
      <c r="F25" s="454"/>
    </row>
    <row r="26" spans="1:6" ht="15.75" thickTop="1" x14ac:dyDescent="0.25">
      <c r="A26" s="454"/>
      <c r="B26" s="456"/>
      <c r="C26" s="456"/>
      <c r="D26" s="456"/>
      <c r="E26" s="456"/>
      <c r="F26" s="462"/>
    </row>
    <row r="27" spans="1:6" x14ac:dyDescent="0.25">
      <c r="A27"/>
    </row>
    <row r="28" spans="1:6" x14ac:dyDescent="0.25">
      <c r="A28"/>
    </row>
    <row r="29" spans="1:6" s="199" customFormat="1" ht="23.45" customHeight="1" x14ac:dyDescent="0.25">
      <c r="A29" s="425" t="s">
        <v>605</v>
      </c>
      <c r="B29" s="199" t="s">
        <v>606</v>
      </c>
    </row>
    <row r="30" spans="1:6" x14ac:dyDescent="0.25">
      <c r="A30" s="31" t="s">
        <v>584</v>
      </c>
      <c r="B30" s="258" t="s">
        <v>585</v>
      </c>
    </row>
    <row r="31" spans="1:6" x14ac:dyDescent="0.25">
      <c r="A31" s="31" t="str">
        <f>$A$37</f>
        <v>(i)</v>
      </c>
      <c r="B31" s="258" t="s">
        <v>595</v>
      </c>
    </row>
    <row r="32" spans="1:6" x14ac:dyDescent="0.25">
      <c r="A32" s="31" t="str">
        <f>$A$52</f>
        <v>(ii)</v>
      </c>
      <c r="B32" s="258" t="s">
        <v>603</v>
      </c>
    </row>
    <row r="33" spans="1:10" x14ac:dyDescent="0.25">
      <c r="A33" s="31" t="str">
        <f>$A$61</f>
        <v>(iii)</v>
      </c>
      <c r="B33" s="258" t="s">
        <v>594</v>
      </c>
    </row>
    <row r="34" spans="1:10" x14ac:dyDescent="0.25">
      <c r="A34"/>
      <c r="B34" s="31"/>
    </row>
    <row r="35" spans="1:10" x14ac:dyDescent="0.25">
      <c r="A35" s="31" t="s">
        <v>596</v>
      </c>
      <c r="B35" s="31"/>
    </row>
    <row r="36" spans="1:10" x14ac:dyDescent="0.25">
      <c r="A36"/>
      <c r="B36" s="31"/>
    </row>
    <row r="37" spans="1:10" x14ac:dyDescent="0.25">
      <c r="A37" s="65" t="s">
        <v>583</v>
      </c>
      <c r="B37" s="23" t="s">
        <v>588</v>
      </c>
    </row>
    <row r="38" spans="1:10" ht="17.25" x14ac:dyDescent="0.4">
      <c r="B38" s="23"/>
      <c r="C38" s="433" t="str">
        <f>"2024E"</f>
        <v>2024E</v>
      </c>
      <c r="D38" s="433"/>
    </row>
    <row r="39" spans="1:10" s="31" customFormat="1" ht="17.25" x14ac:dyDescent="0.25">
      <c r="B39" s="428" t="s">
        <v>44</v>
      </c>
      <c r="C39" s="428" t="s">
        <v>601</v>
      </c>
      <c r="D39" s="428" t="s">
        <v>526</v>
      </c>
    </row>
    <row r="40" spans="1:10" s="31" customFormat="1" ht="7.15" customHeight="1" x14ac:dyDescent="0.25">
      <c r="B40" s="428"/>
      <c r="C40" s="428"/>
      <c r="D40" s="428"/>
    </row>
    <row r="41" spans="1:10" ht="15.75" thickBot="1" x14ac:dyDescent="0.3">
      <c r="B41" s="431" t="s">
        <v>170</v>
      </c>
      <c r="C41" s="470">
        <f>D41</f>
        <v>401.46</v>
      </c>
      <c r="D41" s="555">
        <v>401.46</v>
      </c>
    </row>
    <row r="42" spans="1:10" ht="15.75" thickBot="1" x14ac:dyDescent="0.3">
      <c r="B42" s="465" t="s">
        <v>48</v>
      </c>
      <c r="C42" s="472" t="e">
        <f>D42</f>
        <v>#REF!</v>
      </c>
      <c r="D42" s="478" t="e">
        <f>'Business Summary'!#REF!</f>
        <v>#REF!</v>
      </c>
    </row>
    <row r="43" spans="1:10" x14ac:dyDescent="0.25">
      <c r="B43" s="431" t="s">
        <v>171</v>
      </c>
      <c r="C43" s="466">
        <f>D43</f>
        <v>47.26</v>
      </c>
      <c r="D43" s="555">
        <v>47.26</v>
      </c>
    </row>
    <row r="44" spans="1:10" x14ac:dyDescent="0.25">
      <c r="B44" s="431" t="s">
        <v>172</v>
      </c>
      <c r="C44" s="305">
        <f>D44</f>
        <v>17.72</v>
      </c>
      <c r="D44" s="555">
        <v>17.72</v>
      </c>
    </row>
    <row r="45" spans="1:10" x14ac:dyDescent="0.25">
      <c r="B45" s="431"/>
      <c r="D45" s="477"/>
    </row>
    <row r="46" spans="1:10" x14ac:dyDescent="0.25">
      <c r="B46" s="431" t="s">
        <v>527</v>
      </c>
      <c r="C46" s="470">
        <f>D46</f>
        <v>401.46</v>
      </c>
      <c r="D46" s="477">
        <f>MAX($D$41,$D$43:$D$44)</f>
        <v>401.46</v>
      </c>
      <c r="J46" s="305"/>
    </row>
    <row r="47" spans="1:10" x14ac:dyDescent="0.25">
      <c r="B47" s="431" t="s">
        <v>528</v>
      </c>
      <c r="C47" s="468">
        <f>D47</f>
        <v>17.72</v>
      </c>
      <c r="D47" s="477">
        <f>MIN($D$41,$D$43:$D$44)</f>
        <v>17.72</v>
      </c>
      <c r="J47" s="305"/>
    </row>
    <row r="48" spans="1:10" ht="15.75" thickBot="1" x14ac:dyDescent="0.3">
      <c r="B48" s="431" t="s">
        <v>529</v>
      </c>
      <c r="C48" s="467">
        <f>D48</f>
        <v>155.47999999999999</v>
      </c>
      <c r="D48" s="477">
        <f>AVERAGE($D$41,$D$43:$D$44)</f>
        <v>155.47999999999999</v>
      </c>
      <c r="J48" s="305"/>
    </row>
    <row r="49" spans="1:10" ht="15.75" thickBot="1" x14ac:dyDescent="0.3">
      <c r="B49" s="465" t="s">
        <v>48</v>
      </c>
      <c r="C49" s="473" t="e">
        <f>D49</f>
        <v>#REF!</v>
      </c>
      <c r="D49" s="478" t="e">
        <f>'Business Summary'!#REF!</f>
        <v>#REF!</v>
      </c>
      <c r="J49" s="305"/>
    </row>
    <row r="50" spans="1:10" x14ac:dyDescent="0.25">
      <c r="B50" s="431" t="s">
        <v>530</v>
      </c>
      <c r="C50" s="305">
        <f>D50</f>
        <v>47.26</v>
      </c>
      <c r="D50" s="477">
        <f>MEDIAN($D$41,$D$43:$D$44)</f>
        <v>47.26</v>
      </c>
      <c r="J50" s="305"/>
    </row>
    <row r="51" spans="1:10" x14ac:dyDescent="0.25">
      <c r="E51" s="305"/>
      <c r="J51" s="305"/>
    </row>
    <row r="52" spans="1:10" x14ac:dyDescent="0.25">
      <c r="A52" s="65" t="s">
        <v>586</v>
      </c>
      <c r="B52" s="23" t="s">
        <v>589</v>
      </c>
      <c r="J52" s="305"/>
    </row>
    <row r="53" spans="1:10" ht="17.25" x14ac:dyDescent="0.4">
      <c r="B53" s="23"/>
      <c r="C53" s="474" t="str">
        <f>"2025"</f>
        <v>2025</v>
      </c>
      <c r="D53" s="475"/>
      <c r="E53" s="474" t="str">
        <f>"2026"</f>
        <v>2026</v>
      </c>
      <c r="F53" s="475"/>
      <c r="J53" s="305"/>
    </row>
    <row r="54" spans="1:10" ht="17.25" x14ac:dyDescent="0.4">
      <c r="B54" s="471" t="s">
        <v>44</v>
      </c>
      <c r="C54" s="471" t="s">
        <v>593</v>
      </c>
      <c r="D54" s="471" t="s">
        <v>591</v>
      </c>
      <c r="E54" s="471" t="s">
        <v>593</v>
      </c>
      <c r="F54" s="471" t="s">
        <v>591</v>
      </c>
    </row>
    <row r="55" spans="1:10" s="31" customFormat="1" ht="7.15" customHeight="1" thickBot="1" x14ac:dyDescent="0.3">
      <c r="B55" s="428"/>
      <c r="C55" s="428"/>
      <c r="D55" s="428"/>
    </row>
    <row r="56" spans="1:10" ht="15.75" thickBot="1" x14ac:dyDescent="0.3">
      <c r="B56" s="465" t="s">
        <v>48</v>
      </c>
      <c r="C56" s="469">
        <f>D56</f>
        <v>8.102277671769742E-2</v>
      </c>
      <c r="D56" s="479">
        <f>'IS Assumptions'!$I$30</f>
        <v>8.102277671769742E-2</v>
      </c>
      <c r="E56" s="469">
        <f>F56</f>
        <v>8.523306697005828E-2</v>
      </c>
      <c r="F56" s="480">
        <f>'IS Assumptions'!$J$30</f>
        <v>8.523306697005828E-2</v>
      </c>
    </row>
    <row r="57" spans="1:10" x14ac:dyDescent="0.25">
      <c r="B57" s="431" t="s">
        <v>6</v>
      </c>
      <c r="C57" s="468">
        <f>D57</f>
        <v>2.5999999999999999E-2</v>
      </c>
      <c r="D57" s="556">
        <v>2.5999999999999999E-2</v>
      </c>
      <c r="E57" s="468">
        <f>F57</f>
        <v>3.9E-2</v>
      </c>
      <c r="F57" s="556">
        <v>3.9E-2</v>
      </c>
    </row>
    <row r="58" spans="1:10" x14ac:dyDescent="0.25">
      <c r="B58" s="431" t="s">
        <v>171</v>
      </c>
      <c r="C58" s="466">
        <f>D58</f>
        <v>8.0000000000000002E-3</v>
      </c>
      <c r="D58" s="556">
        <v>8.0000000000000002E-3</v>
      </c>
      <c r="E58" s="466" t="str">
        <f>F58</f>
        <v>N/A</v>
      </c>
      <c r="F58" s="556" t="s">
        <v>531</v>
      </c>
    </row>
    <row r="59" spans="1:10" x14ac:dyDescent="0.25">
      <c r="B59" s="431" t="s">
        <v>172</v>
      </c>
      <c r="C59" s="305">
        <f>D59</f>
        <v>-1.2E-2</v>
      </c>
      <c r="D59" s="556">
        <v>-1.2E-2</v>
      </c>
      <c r="E59" s="305">
        <f>F59</f>
        <v>2.5000000000000001E-2</v>
      </c>
      <c r="F59" s="556">
        <v>2.5000000000000001E-2</v>
      </c>
    </row>
    <row r="60" spans="1:10" x14ac:dyDescent="0.25">
      <c r="E60" s="289"/>
      <c r="H60" s="289"/>
    </row>
    <row r="61" spans="1:10" x14ac:dyDescent="0.25">
      <c r="A61" s="65" t="s">
        <v>587</v>
      </c>
      <c r="B61" s="23" t="s">
        <v>590</v>
      </c>
      <c r="E61" s="289"/>
      <c r="H61" s="289"/>
    </row>
    <row r="62" spans="1:10" x14ac:dyDescent="0.25">
      <c r="A62" s="65"/>
      <c r="B62" s="23"/>
      <c r="E62" s="289"/>
      <c r="H62" s="289"/>
    </row>
    <row r="63" spans="1:10" ht="17.25" x14ac:dyDescent="0.4">
      <c r="B63" s="471" t="s">
        <v>44</v>
      </c>
      <c r="C63" s="471" t="s">
        <v>600</v>
      </c>
      <c r="D63" s="471" t="s">
        <v>592</v>
      </c>
    </row>
    <row r="64" spans="1:10" s="31" customFormat="1" ht="7.15" customHeight="1" thickBot="1" x14ac:dyDescent="0.3">
      <c r="B64" s="428"/>
      <c r="C64" s="428"/>
      <c r="D64" s="428"/>
    </row>
    <row r="65" spans="2:11" ht="15.75" thickBot="1" x14ac:dyDescent="0.3">
      <c r="B65" s="465" t="s">
        <v>48</v>
      </c>
      <c r="C65" s="476">
        <f>D65</f>
        <v>0.21562851180240655</v>
      </c>
      <c r="D65" s="480">
        <f>'Key Ratios'!$H$13</f>
        <v>0.21562851180240655</v>
      </c>
    </row>
    <row r="66" spans="2:11" x14ac:dyDescent="0.25">
      <c r="B66" s="431" t="s">
        <v>6</v>
      </c>
      <c r="C66" s="306">
        <f>D66</f>
        <v>0.214</v>
      </c>
      <c r="D66" s="556">
        <v>0.214</v>
      </c>
    </row>
    <row r="67" spans="2:11" x14ac:dyDescent="0.25">
      <c r="B67" s="431" t="s">
        <v>171</v>
      </c>
      <c r="C67" s="306">
        <f>D67</f>
        <v>0.16980000000000001</v>
      </c>
      <c r="D67" s="556">
        <v>0.16980000000000001</v>
      </c>
    </row>
    <row r="68" spans="2:11" x14ac:dyDescent="0.25">
      <c r="B68" s="431" t="s">
        <v>172</v>
      </c>
      <c r="C68" s="306">
        <f>D68</f>
        <v>0.1555</v>
      </c>
      <c r="D68" s="556">
        <v>0.1555</v>
      </c>
    </row>
    <row r="70" spans="2:11" x14ac:dyDescent="0.25">
      <c r="B70" s="435" t="s">
        <v>574</v>
      </c>
    </row>
    <row r="71" spans="2:11" x14ac:dyDescent="0.25">
      <c r="B71" s="550" t="s">
        <v>611</v>
      </c>
      <c r="K71" t="s">
        <v>612</v>
      </c>
    </row>
    <row r="72" spans="2:11" x14ac:dyDescent="0.25">
      <c r="B72" s="549" t="s">
        <v>174</v>
      </c>
    </row>
    <row r="73" spans="2:11" x14ac:dyDescent="0.25">
      <c r="B73" s="549" t="s">
        <v>175</v>
      </c>
    </row>
    <row r="74" spans="2:11" x14ac:dyDescent="0.25">
      <c r="B74" s="549" t="s">
        <v>169</v>
      </c>
    </row>
  </sheetData>
  <sortState ref="C65:D68">
    <sortCondition descending="1" ref="D65:D68"/>
  </sortState>
  <conditionalFormatting sqref="C41:C44">
    <cfRule type="dataBar" priority="2">
      <dataBar>
        <cfvo type="min"/>
        <cfvo type="max"/>
        <color rgb="FFFF0000"/>
      </dataBar>
      <extLst>
        <ext xmlns:x14="http://schemas.microsoft.com/office/spreadsheetml/2009/9/main" uri="{B025F937-C7B1-47D3-B67F-A62EFF666E3E}">
          <x14:id>{7318F9D6-74ED-450D-8582-5324EA521968}</x14:id>
        </ext>
      </extLst>
    </cfRule>
  </conditionalFormatting>
  <conditionalFormatting sqref="C46:C50 E51 J46:J53">
    <cfRule type="dataBar" priority="7">
      <dataBar>
        <cfvo type="min"/>
        <cfvo type="max"/>
        <color rgb="FFFF0000"/>
      </dataBar>
      <extLst>
        <ext xmlns:x14="http://schemas.microsoft.com/office/spreadsheetml/2009/9/main" uri="{B025F937-C7B1-47D3-B67F-A62EFF666E3E}">
          <x14:id>{204E07D5-DADF-465E-B7B5-CA6223828523}</x14:id>
        </ext>
      </extLst>
    </cfRule>
  </conditionalFormatting>
  <conditionalFormatting sqref="C56:C59">
    <cfRule type="dataBar" priority="4">
      <dataBar>
        <cfvo type="min"/>
        <cfvo type="max"/>
        <color rgb="FFFF0000"/>
      </dataBar>
      <extLst>
        <ext xmlns:x14="http://schemas.microsoft.com/office/spreadsheetml/2009/9/main" uri="{B025F937-C7B1-47D3-B67F-A62EFF666E3E}">
          <x14:id>{C913D006-7893-4401-9E5D-3A7C242FD46D}</x14:id>
        </ext>
      </extLst>
    </cfRule>
  </conditionalFormatting>
  <conditionalFormatting sqref="C65:C68">
    <cfRule type="dataBar" priority="6">
      <dataBar>
        <cfvo type="min"/>
        <cfvo type="max"/>
        <color rgb="FFFF0000"/>
      </dataBar>
      <extLst>
        <ext xmlns:x14="http://schemas.microsoft.com/office/spreadsheetml/2009/9/main" uri="{B025F937-C7B1-47D3-B67F-A62EFF666E3E}">
          <x14:id>{9D7384C5-51DA-4BE6-A5C0-74B469913DB2}</x14:id>
        </ext>
      </extLst>
    </cfRule>
  </conditionalFormatting>
  <conditionalFormatting sqref="E56:E59">
    <cfRule type="dataBar" priority="3">
      <dataBar>
        <cfvo type="min"/>
        <cfvo type="max"/>
        <color rgb="FFFF0000"/>
      </dataBar>
      <extLst>
        <ext xmlns:x14="http://schemas.microsoft.com/office/spreadsheetml/2009/9/main" uri="{B025F937-C7B1-47D3-B67F-A62EFF666E3E}">
          <x14:id>{E1FE327D-2853-46F5-A379-C994C56E29AD}</x14:id>
        </ext>
      </extLst>
    </cfRule>
  </conditionalFormatting>
  <hyperlinks>
    <hyperlink ref="B72" r:id="rId1" xr:uid="{6524721C-3A01-43B5-B21E-04065DF2FCAB}"/>
    <hyperlink ref="B73" r:id="rId2" xr:uid="{942C5445-0025-4B34-9C78-E3650C0FA73B}"/>
    <hyperlink ref="B74" r:id="rId3" xr:uid="{7CF427A8-5AB4-4E90-AC16-922AD35BDE0E}"/>
    <hyperlink ref="B71" r:id="rId4" xr:uid="{6BB44A1A-653B-4567-BBCD-1964E26D9DCD}"/>
  </hyperlinks>
  <pageMargins left="0.7" right="0.7" top="0.75" bottom="0.75" header="0.3" footer="0.3"/>
  <pageSetup scale="55" orientation="portrait" r:id="rId5"/>
  <drawing r:id="rId6"/>
  <extLst>
    <ext xmlns:x14="http://schemas.microsoft.com/office/spreadsheetml/2009/9/main" uri="{78C0D931-6437-407d-A8EE-F0AAD7539E65}">
      <x14:conditionalFormattings>
        <x14:conditionalFormatting xmlns:xm="http://schemas.microsoft.com/office/excel/2006/main">
          <x14:cfRule type="dataBar" id="{7318F9D6-74ED-450D-8582-5324EA521968}">
            <x14:dataBar minLength="0" maxLength="100">
              <x14:cfvo type="autoMin"/>
              <x14:cfvo type="autoMax"/>
              <x14:negativeFillColor rgb="FFFF0000"/>
              <x14:axisColor rgb="FF000000"/>
            </x14:dataBar>
          </x14:cfRule>
          <xm:sqref>C41:C44</xm:sqref>
        </x14:conditionalFormatting>
        <x14:conditionalFormatting xmlns:xm="http://schemas.microsoft.com/office/excel/2006/main">
          <x14:cfRule type="dataBar" id="{204E07D5-DADF-465E-B7B5-CA6223828523}">
            <x14:dataBar minLength="0" maxLength="100">
              <x14:cfvo type="autoMin"/>
              <x14:cfvo type="autoMax"/>
              <x14:negativeFillColor rgb="FFFF0000"/>
              <x14:axisColor rgb="FF000000"/>
            </x14:dataBar>
          </x14:cfRule>
          <xm:sqref>C46:C50 E51 J46:J53</xm:sqref>
        </x14:conditionalFormatting>
        <x14:conditionalFormatting xmlns:xm="http://schemas.microsoft.com/office/excel/2006/main">
          <x14:cfRule type="dataBar" id="{C913D006-7893-4401-9E5D-3A7C242FD46D}">
            <x14:dataBar minLength="0" maxLength="100">
              <x14:cfvo type="autoMin"/>
              <x14:cfvo type="autoMax"/>
              <x14:negativeFillColor rgb="FFFF0000"/>
              <x14:axisColor rgb="FF000000"/>
            </x14:dataBar>
          </x14:cfRule>
          <xm:sqref>C56:C59</xm:sqref>
        </x14:conditionalFormatting>
        <x14:conditionalFormatting xmlns:xm="http://schemas.microsoft.com/office/excel/2006/main">
          <x14:cfRule type="dataBar" id="{9D7384C5-51DA-4BE6-A5C0-74B469913DB2}">
            <x14:dataBar minLength="0" maxLength="100" border="1">
              <x14:cfvo type="autoMin"/>
              <x14:cfvo type="autoMax"/>
              <x14:borderColor rgb="FFFF0000"/>
              <x14:negativeFillColor rgb="FFFF0000"/>
              <x14:axisColor rgb="FF000000"/>
            </x14:dataBar>
          </x14:cfRule>
          <xm:sqref>C65:C68</xm:sqref>
        </x14:conditionalFormatting>
        <x14:conditionalFormatting xmlns:xm="http://schemas.microsoft.com/office/excel/2006/main">
          <x14:cfRule type="dataBar" id="{E1FE327D-2853-46F5-A379-C994C56E29AD}">
            <x14:dataBar minLength="0" maxLength="100">
              <x14:cfvo type="autoMin"/>
              <x14:cfvo type="autoMax"/>
              <x14:negativeFillColor rgb="FFFF0000"/>
              <x14:axisColor rgb="FF000000"/>
            </x14:dataBar>
          </x14:cfRule>
          <xm:sqref>E56:E59</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6953B-8627-403B-8D61-907A635C4062}">
  <sheetPr>
    <tabColor rgb="FFC00000"/>
  </sheetPr>
  <dimension ref="A1"/>
  <sheetViews>
    <sheetView view="pageBreakPreview" zoomScale="80" zoomScaleNormal="100" zoomScaleSheetLayoutView="80" workbookViewId="0"/>
  </sheetViews>
  <sheetFormatPr defaultRowHeight="15" x14ac:dyDescent="0.25"/>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7694-5513-4BF2-A6C8-D1ACDFF84DA2}">
  <dimension ref="A1:P38"/>
  <sheetViews>
    <sheetView showGridLines="0" view="pageBreakPreview" zoomScale="80" zoomScaleNormal="100" zoomScaleSheetLayoutView="80" workbookViewId="0">
      <selection activeCell="D5" sqref="D5"/>
    </sheetView>
  </sheetViews>
  <sheetFormatPr defaultRowHeight="15" x14ac:dyDescent="0.25"/>
  <cols>
    <col min="1" max="1" width="4.7109375" bestFit="1" customWidth="1"/>
    <col min="2" max="2" width="30.140625" bestFit="1" customWidth="1"/>
    <col min="4" max="4" width="4.7109375" bestFit="1" customWidth="1"/>
    <col min="5" max="5" width="15.28515625" style="9" bestFit="1" customWidth="1"/>
    <col min="6" max="6" width="3" bestFit="1" customWidth="1"/>
    <col min="7" max="7" width="9.85546875" bestFit="1" customWidth="1"/>
    <col min="8" max="8" width="3" bestFit="1" customWidth="1"/>
    <col min="9" max="9" width="11.7109375" customWidth="1"/>
  </cols>
  <sheetData>
    <row r="1" spans="1:16" ht="15.75" customHeight="1" x14ac:dyDescent="0.25">
      <c r="E1"/>
      <c r="O1" s="8"/>
      <c r="P1" s="157"/>
    </row>
    <row r="2" spans="1:16" ht="15.75" customHeight="1" x14ac:dyDescent="0.25">
      <c r="E2"/>
    </row>
    <row r="3" spans="1:16" ht="21.75" customHeight="1" x14ac:dyDescent="0.25">
      <c r="D3" s="571"/>
      <c r="E3"/>
    </row>
    <row r="4" spans="1:16" ht="15.75" customHeight="1" x14ac:dyDescent="0.25">
      <c r="D4" s="571" t="s">
        <v>690</v>
      </c>
      <c r="E4"/>
    </row>
    <row r="5" spans="1:16" ht="15.75" customHeight="1" x14ac:dyDescent="0.25">
      <c r="D5" s="572" t="s">
        <v>626</v>
      </c>
      <c r="E5"/>
    </row>
    <row r="6" spans="1:16" ht="15.75" customHeight="1" x14ac:dyDescent="0.25">
      <c r="A6" s="31"/>
      <c r="D6" s="572" t="s">
        <v>627</v>
      </c>
      <c r="E6"/>
    </row>
    <row r="7" spans="1:16" x14ac:dyDescent="0.25">
      <c r="A7" s="31"/>
      <c r="E7"/>
    </row>
    <row r="8" spans="1:16" x14ac:dyDescent="0.25">
      <c r="A8" s="31"/>
    </row>
    <row r="9" spans="1:16" s="31" customFormat="1" ht="17.25" x14ac:dyDescent="0.4">
      <c r="A9" s="81"/>
      <c r="B9" s="458" t="s">
        <v>20</v>
      </c>
      <c r="C9" s="459"/>
      <c r="D9" s="460" t="str">
        <f>$A$38</f>
        <v>[a]</v>
      </c>
      <c r="E9" s="459" t="s">
        <v>575</v>
      </c>
      <c r="F9" s="460"/>
      <c r="G9" s="459" t="s">
        <v>578</v>
      </c>
      <c r="H9" s="446"/>
      <c r="I9"/>
    </row>
    <row r="10" spans="1:16" ht="15.75" thickBot="1" x14ac:dyDescent="0.3">
      <c r="B10" s="379"/>
      <c r="E10" s="447"/>
      <c r="F10" s="448"/>
      <c r="G10" s="448"/>
      <c r="H10" s="449"/>
      <c r="I10" s="162"/>
      <c r="J10" s="162"/>
      <c r="K10" s="162"/>
      <c r="L10" s="162"/>
      <c r="M10" s="162"/>
      <c r="N10" s="162"/>
      <c r="O10" s="162"/>
    </row>
    <row r="11" spans="1:16" ht="16.5" thickTop="1" thickBot="1" x14ac:dyDescent="0.3">
      <c r="B11" s="450" t="s">
        <v>537</v>
      </c>
      <c r="C11" s="31"/>
      <c r="D11" s="31"/>
      <c r="E11" s="451"/>
      <c r="F11" s="452"/>
      <c r="G11" s="317">
        <f>SUM(E12:E15)</f>
        <v>5114.6867333751106</v>
      </c>
      <c r="H11" s="449"/>
      <c r="I11" s="162"/>
      <c r="J11" s="162"/>
      <c r="K11" s="162"/>
      <c r="L11" s="162"/>
      <c r="M11" s="162"/>
      <c r="N11" s="162"/>
      <c r="O11" s="162"/>
    </row>
    <row r="12" spans="1:16" ht="16.5" thickTop="1" thickBot="1" x14ac:dyDescent="0.3">
      <c r="B12" s="453" t="s">
        <v>290</v>
      </c>
      <c r="E12" s="165">
        <f>BS!H13</f>
        <v>410.96205964594174</v>
      </c>
      <c r="F12" s="448"/>
      <c r="G12" s="448"/>
      <c r="H12" s="449"/>
      <c r="I12" s="162"/>
      <c r="J12" s="162"/>
      <c r="K12" s="162"/>
      <c r="L12" s="162"/>
      <c r="M12" s="162"/>
      <c r="N12" s="162"/>
      <c r="O12" s="162"/>
    </row>
    <row r="13" spans="1:16" ht="16.5" thickTop="1" thickBot="1" x14ac:dyDescent="0.3">
      <c r="B13" s="453" t="s">
        <v>579</v>
      </c>
      <c r="E13" s="165">
        <f>BS!H14</f>
        <v>1696.5890205620406</v>
      </c>
      <c r="F13" s="448"/>
      <c r="G13" s="448"/>
      <c r="H13" s="449"/>
      <c r="I13" s="162"/>
      <c r="J13" s="162"/>
      <c r="K13" s="162"/>
      <c r="L13" s="162"/>
      <c r="M13" s="162"/>
      <c r="N13" s="162"/>
      <c r="O13" s="162"/>
    </row>
    <row r="14" spans="1:16" ht="16.5" thickTop="1" thickBot="1" x14ac:dyDescent="0.3">
      <c r="B14" s="453" t="s">
        <v>13</v>
      </c>
      <c r="E14" s="165">
        <f>BS!H15</f>
        <v>2216.4105226973561</v>
      </c>
      <c r="F14" s="448"/>
      <c r="G14" s="448"/>
      <c r="H14" s="449"/>
      <c r="I14" s="162"/>
      <c r="J14" s="162"/>
      <c r="K14" s="162"/>
      <c r="L14" s="162"/>
      <c r="M14" s="162"/>
      <c r="N14" s="162"/>
      <c r="O14" s="162"/>
    </row>
    <row r="15" spans="1:16" ht="16.5" thickTop="1" thickBot="1" x14ac:dyDescent="0.3">
      <c r="B15" s="453" t="s">
        <v>292</v>
      </c>
      <c r="E15" s="165">
        <f>BS!H16</f>
        <v>790.72513046977235</v>
      </c>
      <c r="F15" s="448"/>
      <c r="G15" s="448"/>
      <c r="H15" s="449"/>
      <c r="I15" s="162"/>
      <c r="J15" s="162"/>
      <c r="K15" s="162"/>
      <c r="L15" s="162"/>
      <c r="M15" s="162"/>
      <c r="N15" s="162"/>
      <c r="O15" s="162"/>
    </row>
    <row r="16" spans="1:16" ht="16.5" thickTop="1" thickBot="1" x14ac:dyDescent="0.3">
      <c r="B16" s="379"/>
      <c r="E16" s="64"/>
      <c r="F16" s="448"/>
      <c r="G16" s="448"/>
      <c r="H16" s="449"/>
      <c r="I16" s="162"/>
      <c r="J16" s="162"/>
      <c r="K16" s="162"/>
      <c r="L16" s="162"/>
      <c r="M16" s="162"/>
      <c r="N16" s="162"/>
      <c r="O16" s="162"/>
    </row>
    <row r="17" spans="2:15" ht="16.5" thickTop="1" thickBot="1" x14ac:dyDescent="0.3">
      <c r="B17" s="450" t="s">
        <v>576</v>
      </c>
      <c r="C17" s="31"/>
      <c r="D17" s="31"/>
      <c r="E17" s="451"/>
      <c r="F17" s="452"/>
      <c r="G17" s="317">
        <f>SUM(E18:E22)</f>
        <v>11506.422558293609</v>
      </c>
      <c r="H17" s="449"/>
      <c r="I17" s="162"/>
      <c r="J17" s="162"/>
      <c r="K17" s="162"/>
      <c r="L17" s="162"/>
      <c r="M17" s="162"/>
      <c r="N17" s="162"/>
      <c r="O17" s="162"/>
    </row>
    <row r="18" spans="2:15" ht="16.5" thickTop="1" thickBot="1" x14ac:dyDescent="0.3">
      <c r="B18" s="453" t="s">
        <v>293</v>
      </c>
      <c r="E18" s="165">
        <f>BS!H19</f>
        <v>4937.8731999025649</v>
      </c>
      <c r="F18" s="448"/>
      <c r="G18" s="448"/>
      <c r="H18" s="449"/>
      <c r="I18" s="162"/>
      <c r="J18" s="162"/>
      <c r="K18" s="162"/>
      <c r="L18" s="162"/>
      <c r="M18" s="162"/>
      <c r="N18" s="162"/>
      <c r="O18" s="162"/>
    </row>
    <row r="19" spans="2:15" ht="16.5" thickTop="1" thickBot="1" x14ac:dyDescent="0.3">
      <c r="B19" s="453" t="s">
        <v>14</v>
      </c>
      <c r="E19" s="165">
        <f>BS!H20</f>
        <v>3272</v>
      </c>
      <c r="F19" s="448"/>
      <c r="G19" s="448"/>
      <c r="H19" s="449"/>
      <c r="I19" s="162"/>
      <c r="J19" s="162"/>
      <c r="K19" s="162"/>
      <c r="L19" s="162"/>
      <c r="M19" s="162"/>
      <c r="N19" s="162"/>
      <c r="O19" s="162"/>
    </row>
    <row r="20" spans="2:15" ht="16.5" thickTop="1" thickBot="1" x14ac:dyDescent="0.3">
      <c r="B20" s="453" t="s">
        <v>294</v>
      </c>
      <c r="E20" s="165">
        <f>BS!H21</f>
        <v>1887</v>
      </c>
      <c r="F20" s="448"/>
      <c r="G20" s="448"/>
      <c r="H20" s="449"/>
      <c r="I20" s="162"/>
      <c r="J20" s="162"/>
      <c r="K20" s="162"/>
      <c r="L20" s="162"/>
      <c r="M20" s="162"/>
      <c r="N20" s="162"/>
      <c r="O20" s="162"/>
    </row>
    <row r="21" spans="2:15" ht="16.5" thickTop="1" thickBot="1" x14ac:dyDescent="0.3">
      <c r="B21" s="453" t="s">
        <v>295</v>
      </c>
      <c r="E21" s="165">
        <f>BS!H22</f>
        <v>264.34172385606274</v>
      </c>
      <c r="F21" s="448"/>
      <c r="G21" s="448"/>
      <c r="H21" s="449"/>
      <c r="I21" s="162"/>
      <c r="J21" s="162"/>
      <c r="K21" s="162"/>
      <c r="L21" s="162"/>
      <c r="M21" s="162"/>
      <c r="N21" s="162"/>
      <c r="O21" s="162"/>
    </row>
    <row r="22" spans="2:15" ht="16.5" thickTop="1" thickBot="1" x14ac:dyDescent="0.3">
      <c r="B22" s="453" t="s">
        <v>296</v>
      </c>
      <c r="E22" s="165">
        <f>BS!H23</f>
        <v>1145.2076345349794</v>
      </c>
      <c r="F22" s="448"/>
      <c r="G22" s="448"/>
      <c r="H22" s="449"/>
      <c r="I22" s="162"/>
      <c r="J22" s="162"/>
      <c r="K22" s="162"/>
      <c r="L22" s="162"/>
      <c r="M22" s="162"/>
      <c r="N22" s="162"/>
      <c r="O22" s="162"/>
    </row>
    <row r="23" spans="2:15" ht="16.5" thickTop="1" thickBot="1" x14ac:dyDescent="0.3">
      <c r="B23" s="379"/>
      <c r="E23" s="64"/>
      <c r="F23" s="448"/>
      <c r="G23" s="448"/>
      <c r="H23" s="449"/>
      <c r="I23" s="162"/>
      <c r="J23" s="162"/>
      <c r="K23" s="162"/>
      <c r="L23" s="162"/>
      <c r="M23" s="162"/>
      <c r="N23" s="162"/>
      <c r="O23" s="162"/>
    </row>
    <row r="24" spans="2:15" ht="16.5" thickTop="1" thickBot="1" x14ac:dyDescent="0.3">
      <c r="B24" s="450" t="s">
        <v>538</v>
      </c>
      <c r="C24" s="31"/>
      <c r="D24" s="31"/>
      <c r="E24" s="451"/>
      <c r="F24" s="452"/>
      <c r="G24" s="317">
        <f>SUM(E25:E29)</f>
        <v>5830.0156813942958</v>
      </c>
      <c r="H24" s="449"/>
      <c r="I24" s="162"/>
      <c r="J24" s="162"/>
      <c r="K24" s="162"/>
      <c r="L24" s="162"/>
      <c r="M24" s="162"/>
      <c r="N24" s="162"/>
      <c r="O24" s="162"/>
    </row>
    <row r="25" spans="2:15" ht="16.5" thickTop="1" thickBot="1" x14ac:dyDescent="0.3">
      <c r="B25" s="453" t="s">
        <v>297</v>
      </c>
      <c r="E25" s="165">
        <f>BS!H30</f>
        <v>630</v>
      </c>
      <c r="H25" s="454"/>
    </row>
    <row r="26" spans="2:15" ht="16.5" thickTop="1" thickBot="1" x14ac:dyDescent="0.3">
      <c r="B26" s="453" t="s">
        <v>298</v>
      </c>
      <c r="E26" s="165">
        <f>BS!H31</f>
        <v>30</v>
      </c>
      <c r="H26" s="454"/>
    </row>
    <row r="27" spans="2:15" ht="16.5" thickTop="1" thickBot="1" x14ac:dyDescent="0.3">
      <c r="B27" s="453" t="s">
        <v>299</v>
      </c>
      <c r="E27" s="165">
        <f>BS!H32</f>
        <v>1875.3156967934112</v>
      </c>
      <c r="H27" s="454"/>
    </row>
    <row r="28" spans="2:15" ht="16.5" thickTop="1" thickBot="1" x14ac:dyDescent="0.3">
      <c r="B28" s="453" t="s">
        <v>300</v>
      </c>
      <c r="E28" s="165">
        <f>BS!H33</f>
        <v>491.77279448968898</v>
      </c>
      <c r="H28" s="454"/>
    </row>
    <row r="29" spans="2:15" ht="16.5" thickTop="1" thickBot="1" x14ac:dyDescent="0.3">
      <c r="B29" s="453" t="s">
        <v>301</v>
      </c>
      <c r="E29" s="165">
        <f>BS!H34</f>
        <v>2802.9271901111956</v>
      </c>
      <c r="H29" s="454"/>
    </row>
    <row r="30" spans="2:15" ht="16.5" thickTop="1" thickBot="1" x14ac:dyDescent="0.3">
      <c r="B30" s="379"/>
      <c r="E30" s="64"/>
      <c r="H30" s="454"/>
    </row>
    <row r="31" spans="2:15" ht="16.5" thickTop="1" thickBot="1" x14ac:dyDescent="0.3">
      <c r="B31" s="450" t="s">
        <v>577</v>
      </c>
      <c r="C31" s="31"/>
      <c r="D31" s="31"/>
      <c r="E31" s="451"/>
      <c r="F31" s="31"/>
      <c r="G31" s="463">
        <f>SUM(E32:E34)</f>
        <v>10215.507953865261</v>
      </c>
      <c r="H31" s="454"/>
    </row>
    <row r="32" spans="2:15" ht="16.5" thickTop="1" thickBot="1" x14ac:dyDescent="0.3">
      <c r="B32" s="453" t="s">
        <v>302</v>
      </c>
      <c r="E32" s="165">
        <f>BS!H37</f>
        <v>7059</v>
      </c>
      <c r="H32" s="454"/>
    </row>
    <row r="33" spans="1:8" ht="16.5" thickTop="1" thickBot="1" x14ac:dyDescent="0.3">
      <c r="B33" s="453" t="s">
        <v>295</v>
      </c>
      <c r="E33" s="165">
        <f>BS!H38</f>
        <v>498.09133212557231</v>
      </c>
      <c r="H33" s="454"/>
    </row>
    <row r="34" spans="1:8" ht="16.5" thickTop="1" thickBot="1" x14ac:dyDescent="0.3">
      <c r="B34" s="453" t="s">
        <v>303</v>
      </c>
      <c r="E34" s="165">
        <f>BS!H39</f>
        <v>2658.4166217396896</v>
      </c>
      <c r="H34" s="454"/>
    </row>
    <row r="35" spans="1:8" ht="15.75" thickTop="1" x14ac:dyDescent="0.25">
      <c r="B35" s="379"/>
      <c r="H35" s="454"/>
    </row>
    <row r="36" spans="1:8" x14ac:dyDescent="0.25">
      <c r="B36" s="455" t="s">
        <v>580</v>
      </c>
      <c r="C36" s="456"/>
      <c r="D36" s="456"/>
      <c r="E36" s="457"/>
      <c r="F36" s="456"/>
      <c r="G36" s="461">
        <f>G11+G17-G24-G31</f>
        <v>575.58565640916277</v>
      </c>
      <c r="H36" s="462"/>
    </row>
    <row r="38" spans="1:8" x14ac:dyDescent="0.25">
      <c r="A38" s="464" t="s">
        <v>581</v>
      </c>
      <c r="B38" t="s">
        <v>582</v>
      </c>
    </row>
  </sheetData>
  <pageMargins left="0.7" right="0.7" top="0.75" bottom="0.75" header="0.3" footer="0.3"/>
  <pageSetup scale="99" orientation="portrait" r:id="rId1"/>
  <colBreaks count="1" manualBreakCount="1">
    <brk id="9"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30AF-A266-4F89-928F-F5706D89EC59}">
  <dimension ref="A1:AH121"/>
  <sheetViews>
    <sheetView showGridLines="0" view="pageBreakPreview" zoomScale="76" zoomScaleNormal="90" zoomScaleSheetLayoutView="160" workbookViewId="0">
      <pane xSplit="1" ySplit="10" topLeftCell="B11" activePane="bottomRight" state="frozen"/>
      <selection pane="topRight"/>
      <selection pane="bottomLeft"/>
      <selection pane="bottomRight" activeCell="Q112" sqref="Q112"/>
    </sheetView>
  </sheetViews>
  <sheetFormatPr defaultRowHeight="15" outlineLevelRow="1" x14ac:dyDescent="0.25"/>
  <cols>
    <col min="1" max="1" width="3.5703125" bestFit="1" customWidth="1"/>
    <col min="2" max="2" width="43.7109375" bestFit="1" customWidth="1"/>
    <col min="19" max="37" width="8.85546875" customWidth="1"/>
  </cols>
  <sheetData>
    <row r="1" spans="1:26" x14ac:dyDescent="0.25">
      <c r="P1" s="8"/>
      <c r="Q1" s="156"/>
    </row>
    <row r="7" spans="1:26" x14ac:dyDescent="0.25">
      <c r="A7" s="31"/>
    </row>
    <row r="8" spans="1:26" ht="15.75" thickBot="1" x14ac:dyDescent="0.3">
      <c r="A8" s="31"/>
    </row>
    <row r="9" spans="1:26" ht="18.75" thickTop="1" thickBot="1" x14ac:dyDescent="0.3">
      <c r="B9" s="12" t="s">
        <v>20</v>
      </c>
      <c r="C9" s="666" t="s">
        <v>21</v>
      </c>
      <c r="D9" s="666"/>
      <c r="E9" s="666"/>
      <c r="F9" s="666"/>
      <c r="G9" s="666"/>
      <c r="H9" s="666" t="s">
        <v>67</v>
      </c>
      <c r="I9" s="666"/>
      <c r="J9" s="666"/>
      <c r="K9" s="666"/>
      <c r="L9" s="666"/>
    </row>
    <row r="10" spans="1:26" ht="16.5" thickTop="1" thickBot="1" x14ac:dyDescent="0.3">
      <c r="B10" s="13"/>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c r="O10" s="128">
        <v>2020</v>
      </c>
      <c r="P10" s="128">
        <f>O10+1</f>
        <v>2021</v>
      </c>
      <c r="Q10" s="128">
        <f t="shared" ref="Q10" si="1">P10+1</f>
        <v>2022</v>
      </c>
      <c r="R10" s="128">
        <f t="shared" ref="R10" si="2">Q10+1</f>
        <v>2023</v>
      </c>
      <c r="S10" s="128">
        <f t="shared" ref="S10" si="3">R10+1</f>
        <v>2024</v>
      </c>
      <c r="T10" s="128" t="s">
        <v>243</v>
      </c>
      <c r="U10" s="129">
        <f t="shared" ref="U10" si="4">S10+1</f>
        <v>2025</v>
      </c>
      <c r="V10" s="129">
        <f t="shared" ref="V10" si="5">U10+1</f>
        <v>2026</v>
      </c>
      <c r="W10" s="129">
        <f t="shared" ref="W10" si="6">V10+1</f>
        <v>2027</v>
      </c>
      <c r="X10" s="129">
        <f t="shared" ref="X10" si="7">W10+1</f>
        <v>2028</v>
      </c>
      <c r="Y10" s="129">
        <f t="shared" ref="Y10" si="8">X10+1</f>
        <v>2029</v>
      </c>
      <c r="Z10" s="128" t="s">
        <v>243</v>
      </c>
    </row>
    <row r="11" spans="1:26" ht="16.5" thickTop="1" thickBot="1" x14ac:dyDescent="0.3">
      <c r="A11" s="31" t="s">
        <v>57</v>
      </c>
      <c r="B11" s="12" t="s">
        <v>69</v>
      </c>
      <c r="C11" s="86"/>
      <c r="D11" s="87"/>
      <c r="E11" s="87"/>
      <c r="F11" s="87"/>
      <c r="G11" s="87"/>
      <c r="H11" s="87"/>
      <c r="I11" s="87"/>
      <c r="J11" s="87"/>
      <c r="K11" s="87"/>
      <c r="L11" s="88"/>
    </row>
    <row r="12" spans="1:26" ht="16.5" thickTop="1" thickBot="1" x14ac:dyDescent="0.3">
      <c r="B12" s="324" t="s">
        <v>133</v>
      </c>
      <c r="C12" s="84"/>
      <c r="D12" s="84"/>
      <c r="E12" s="85"/>
      <c r="F12" s="85"/>
      <c r="G12" s="85"/>
      <c r="H12" s="85"/>
      <c r="I12" s="85"/>
      <c r="J12" s="85"/>
      <c r="K12" s="85"/>
      <c r="L12" s="85"/>
    </row>
    <row r="13" spans="1:26" ht="16.5" outlineLevel="1" thickTop="1" thickBot="1" x14ac:dyDescent="0.3">
      <c r="B13" s="325" t="s">
        <v>135</v>
      </c>
      <c r="C13" s="14">
        <v>3741</v>
      </c>
      <c r="D13" s="15">
        <v>3694</v>
      </c>
      <c r="E13" s="15">
        <v>3816</v>
      </c>
      <c r="F13" s="15">
        <v>3925</v>
      </c>
      <c r="G13" s="15">
        <v>4113</v>
      </c>
      <c r="H13" s="57">
        <f>'IS Assumptions'!H16</f>
        <v>4310.4161407643305</v>
      </c>
      <c r="I13" s="57">
        <f>'IS Assumptions'!I16</f>
        <v>4518.3854830922464</v>
      </c>
      <c r="J13" s="57">
        <f>'IS Assumptions'!J16</f>
        <v>4737.5185451646084</v>
      </c>
      <c r="K13" s="57">
        <f>'IS Assumptions'!K16</f>
        <v>4968.4635216581755</v>
      </c>
      <c r="L13" s="57">
        <f>'IS Assumptions'!L16</f>
        <v>5211.9087403400854</v>
      </c>
      <c r="O13" s="108">
        <f>C13/C$20</f>
        <v>0.22712646469552547</v>
      </c>
      <c r="P13" s="108">
        <f t="shared" ref="P13" si="9">D13/D$20</f>
        <v>0.21204293668560933</v>
      </c>
      <c r="Q13" s="108">
        <f t="shared" ref="Q13" si="10">E13/E$20</f>
        <v>0.21238938053097345</v>
      </c>
      <c r="R13" s="108">
        <f t="shared" ref="R13" si="11">F13/F$20</f>
        <v>0.20172688492573368</v>
      </c>
      <c r="S13" s="108">
        <f t="shared" ref="S13" si="12">G13/G$20</f>
        <v>0.20461668573702801</v>
      </c>
      <c r="T13" s="108">
        <f>AVERAGE(O13:S13)</f>
        <v>0.21158047051497397</v>
      </c>
      <c r="U13" s="108">
        <f>H13/H$20</f>
        <v>0.19922721623870498</v>
      </c>
      <c r="V13" s="108">
        <f t="shared" ref="V13" si="13">I13/I$20</f>
        <v>0.19318700145002723</v>
      </c>
      <c r="W13" s="108">
        <f t="shared" ref="W13" si="14">J13/J$20</f>
        <v>0.18664765020360879</v>
      </c>
      <c r="X13" s="108">
        <f t="shared" ref="X13" si="15">K13/K$20</f>
        <v>0.1792723619175475</v>
      </c>
      <c r="Y13" s="108">
        <f t="shared" ref="Y13" si="16">L13/L$20</f>
        <v>0.17111686109437468</v>
      </c>
      <c r="Z13" s="108">
        <f>AVERAGE(U13:Y13)</f>
        <v>0.18589021818085261</v>
      </c>
    </row>
    <row r="14" spans="1:26" ht="16.5" outlineLevel="1" thickTop="1" thickBot="1" x14ac:dyDescent="0.3">
      <c r="B14" s="325" t="s">
        <v>136</v>
      </c>
      <c r="C14" s="14">
        <v>3418</v>
      </c>
      <c r="D14" s="15">
        <v>3663</v>
      </c>
      <c r="E14" s="15">
        <v>3982</v>
      </c>
      <c r="F14" s="15">
        <v>4640</v>
      </c>
      <c r="G14" s="15">
        <v>4782</v>
      </c>
      <c r="H14" s="57">
        <f>'IS Assumptions'!H18</f>
        <v>5071.5415658003994</v>
      </c>
      <c r="I14" s="57">
        <f>'IS Assumptions'!I18</f>
        <v>5353.2566488504553</v>
      </c>
      <c r="J14" s="57">
        <f>'IS Assumptions'!J18</f>
        <v>5655.9737586497749</v>
      </c>
      <c r="K14" s="57">
        <f>'IS Assumptions'!K18</f>
        <v>5981.4649545225966</v>
      </c>
      <c r="L14" s="57">
        <f>'IS Assumptions'!L18</f>
        <v>6325.6875878298115</v>
      </c>
      <c r="O14" s="108">
        <f>C14/C$20</f>
        <v>0.20751624066541194</v>
      </c>
      <c r="P14" s="108">
        <f t="shared" ref="P14:P19" si="17">D14/D$20</f>
        <v>0.21026347511623902</v>
      </c>
      <c r="Q14" s="108">
        <f t="shared" ref="Q14:Q19" si="18">E14/E$20</f>
        <v>0.22162854121444872</v>
      </c>
      <c r="R14" s="108">
        <f t="shared" ref="R14:R19" si="19">F14/F$20</f>
        <v>0.23847458498226859</v>
      </c>
      <c r="S14" s="108">
        <f t="shared" ref="S14:S19" si="20">G14/G$20</f>
        <v>0.23789861200935278</v>
      </c>
      <c r="T14" s="108">
        <f t="shared" ref="T14:T19" si="21">AVERAGE(O14:S14)</f>
        <v>0.22315629079754423</v>
      </c>
      <c r="U14" s="108">
        <f>H14/H$20</f>
        <v>0.23440639492736601</v>
      </c>
      <c r="V14" s="108">
        <f t="shared" ref="V14:V19" si="22">I14/I$20</f>
        <v>0.22888255193226223</v>
      </c>
      <c r="W14" s="108">
        <f t="shared" ref="W14:W19" si="23">J14/J$20</f>
        <v>0.22283273439483151</v>
      </c>
      <c r="X14" s="108">
        <f t="shared" ref="X14:X19" si="24">K14/K$20</f>
        <v>0.21582353285879183</v>
      </c>
      <c r="Y14" s="108">
        <f t="shared" ref="Y14:Y19" si="25">L14/L$20</f>
        <v>0.20768433566671649</v>
      </c>
      <c r="Z14" s="108">
        <f t="shared" ref="Z14:Z19" si="26">AVERAGE(U14:Y14)</f>
        <v>0.22192590995599359</v>
      </c>
    </row>
    <row r="15" spans="1:26" ht="16.5" outlineLevel="1" thickTop="1" thickBot="1" x14ac:dyDescent="0.3">
      <c r="B15" s="325" t="s">
        <v>137</v>
      </c>
      <c r="C15" s="14">
        <v>2747</v>
      </c>
      <c r="D15" s="15">
        <v>2841</v>
      </c>
      <c r="E15" s="15">
        <v>2548</v>
      </c>
      <c r="F15" s="15">
        <v>2737</v>
      </c>
      <c r="G15" s="15">
        <v>2770</v>
      </c>
      <c r="H15" s="57">
        <f>'IS Assumptions'!H20</f>
        <v>2833.843476308853</v>
      </c>
      <c r="I15" s="57">
        <f>'IS Assumptions'!I20</f>
        <v>2899.4418133072863</v>
      </c>
      <c r="J15" s="57">
        <f>'IS Assumptions'!J20</f>
        <v>2967.2834932909627</v>
      </c>
      <c r="K15" s="57">
        <f>'IS Assumptions'!K20</f>
        <v>3037.4543664214407</v>
      </c>
      <c r="L15" s="57">
        <f>'IS Assumptions'!L20</f>
        <v>3110.0440170306788</v>
      </c>
      <c r="O15" s="108">
        <f t="shared" ref="O15:O19" si="27">C15/C$20</f>
        <v>0.16677797340780767</v>
      </c>
      <c r="P15" s="108">
        <f t="shared" si="17"/>
        <v>0.16307904253487171</v>
      </c>
      <c r="Q15" s="108">
        <f t="shared" si="18"/>
        <v>0.14181555073189736</v>
      </c>
      <c r="R15" s="108">
        <f t="shared" si="19"/>
        <v>0.1406691679087218</v>
      </c>
      <c r="S15" s="108">
        <f t="shared" si="20"/>
        <v>0.13780408934878863</v>
      </c>
      <c r="T15" s="108">
        <f t="shared" si="21"/>
        <v>0.15002916478641742</v>
      </c>
      <c r="U15" s="108">
        <f t="shared" ref="U15:U19" si="28">H15/H$20</f>
        <v>0.13098010229265594</v>
      </c>
      <c r="V15" s="108">
        <f t="shared" si="22"/>
        <v>0.12396783583155575</v>
      </c>
      <c r="W15" s="108">
        <f t="shared" si="23"/>
        <v>0.11690434269138478</v>
      </c>
      <c r="X15" s="108">
        <f t="shared" si="24"/>
        <v>0.10959758808964898</v>
      </c>
      <c r="Y15" s="108">
        <f t="shared" si="25"/>
        <v>0.10210865089416435</v>
      </c>
      <c r="Z15" s="108">
        <f t="shared" si="26"/>
        <v>0.11671170395988195</v>
      </c>
    </row>
    <row r="16" spans="1:26" ht="16.5" outlineLevel="1" thickTop="1" thickBot="1" x14ac:dyDescent="0.3">
      <c r="B16" s="325" t="s">
        <v>138</v>
      </c>
      <c r="C16" s="14">
        <v>2701</v>
      </c>
      <c r="D16" s="15">
        <v>2867</v>
      </c>
      <c r="E16" s="15">
        <v>2826</v>
      </c>
      <c r="F16" s="15">
        <v>2782</v>
      </c>
      <c r="G16" s="15">
        <v>2858</v>
      </c>
      <c r="H16" s="57">
        <f>'IS Assumptions'!H22</f>
        <v>2884.771798036244</v>
      </c>
      <c r="I16" s="57">
        <f>'IS Assumptions'!I22</f>
        <v>2924.1628616090679</v>
      </c>
      <c r="J16" s="57">
        <f>'IS Assumptions'!J22</f>
        <v>2936.134531027536</v>
      </c>
      <c r="K16" s="57">
        <f>'IS Assumptions'!K22</f>
        <v>2958.9570833897701</v>
      </c>
      <c r="L16" s="57">
        <f>'IS Assumptions'!L22</f>
        <v>2995.771046306581</v>
      </c>
      <c r="O16" s="108">
        <f t="shared" si="27"/>
        <v>0.16398518608463361</v>
      </c>
      <c r="P16" s="108">
        <f t="shared" si="17"/>
        <v>0.1645714941736984</v>
      </c>
      <c r="Q16" s="108">
        <f t="shared" si="18"/>
        <v>0.1572883619969945</v>
      </c>
      <c r="R16" s="108">
        <f t="shared" si="19"/>
        <v>0.14298196021997225</v>
      </c>
      <c r="S16" s="108">
        <f t="shared" si="20"/>
        <v>0.14218198099597035</v>
      </c>
      <c r="T16" s="108">
        <f t="shared" si="21"/>
        <v>0.15420179669425382</v>
      </c>
      <c r="U16" s="108">
        <f t="shared" si="28"/>
        <v>0.13333400674969942</v>
      </c>
      <c r="V16" s="108">
        <f t="shared" si="22"/>
        <v>0.12502480301861701</v>
      </c>
      <c r="W16" s="108">
        <f t="shared" si="23"/>
        <v>0.11567714314433847</v>
      </c>
      <c r="X16" s="108">
        <f t="shared" si="24"/>
        <v>0.10676524499769421</v>
      </c>
      <c r="Y16" s="108">
        <f t="shared" si="25"/>
        <v>9.8356852266746134E-2</v>
      </c>
      <c r="Z16" s="108">
        <f t="shared" si="26"/>
        <v>0.11583161003541906</v>
      </c>
    </row>
    <row r="17" spans="1:34" ht="16.5" outlineLevel="1" thickTop="1" thickBot="1" x14ac:dyDescent="0.3">
      <c r="B17" s="325" t="s">
        <v>139</v>
      </c>
      <c r="C17" s="14">
        <v>981</v>
      </c>
      <c r="D17" s="15">
        <v>1045</v>
      </c>
      <c r="E17" s="15">
        <v>1082</v>
      </c>
      <c r="F17" s="15">
        <v>1083</v>
      </c>
      <c r="G17" s="15">
        <v>1095</v>
      </c>
      <c r="H17" s="57">
        <f>'IS Assumptions'!H24</f>
        <v>1122.8411553315759</v>
      </c>
      <c r="I17" s="57">
        <f>'IS Assumptions'!I24</f>
        <v>1153.8487528222445</v>
      </c>
      <c r="J17" s="57">
        <f>'IS Assumptions'!J24</f>
        <v>1177.0300957886059</v>
      </c>
      <c r="K17" s="57">
        <f>'IS Assumptions'!K24</f>
        <v>1197.0716257770034</v>
      </c>
      <c r="L17" s="57">
        <f>'IS Assumptions'!L24</f>
        <v>1221.3096930234462</v>
      </c>
      <c r="O17" s="108">
        <f t="shared" si="27"/>
        <v>5.9559225305081662E-2</v>
      </c>
      <c r="P17" s="108">
        <f t="shared" si="17"/>
        <v>5.9985075483611733E-2</v>
      </c>
      <c r="Q17" s="108">
        <f t="shared" si="18"/>
        <v>6.0221517226025492E-2</v>
      </c>
      <c r="R17" s="108">
        <f t="shared" si="19"/>
        <v>5.5661201624094159E-2</v>
      </c>
      <c r="S17" s="108">
        <f t="shared" si="20"/>
        <v>5.4474901746181782E-2</v>
      </c>
      <c r="T17" s="108">
        <f t="shared" si="21"/>
        <v>5.7980384276998961E-2</v>
      </c>
      <c r="U17" s="108">
        <f t="shared" si="28"/>
        <v>5.1897661466926072E-2</v>
      </c>
      <c r="V17" s="108">
        <f t="shared" si="22"/>
        <v>4.9333679368151466E-2</v>
      </c>
      <c r="W17" s="108">
        <f t="shared" si="23"/>
        <v>4.6372357069103275E-2</v>
      </c>
      <c r="X17" s="108">
        <f t="shared" si="24"/>
        <v>4.3192801316150289E-2</v>
      </c>
      <c r="Y17" s="108">
        <f t="shared" si="25"/>
        <v>4.0097916426807906E-2</v>
      </c>
      <c r="Z17" s="108">
        <f t="shared" si="26"/>
        <v>4.6178883129427799E-2</v>
      </c>
    </row>
    <row r="18" spans="1:34" s="31" customFormat="1" ht="16.5" outlineLevel="1" thickTop="1" thickBot="1" x14ac:dyDescent="0.3">
      <c r="B18" s="324" t="s">
        <v>147</v>
      </c>
      <c r="C18" s="83">
        <f t="shared" ref="C18:H18" si="29">SUM(C13:C17)</f>
        <v>13588</v>
      </c>
      <c r="D18" s="83">
        <f t="shared" si="29"/>
        <v>14110</v>
      </c>
      <c r="E18" s="83">
        <f t="shared" si="29"/>
        <v>14254</v>
      </c>
      <c r="F18" s="83">
        <f t="shared" si="29"/>
        <v>15167</v>
      </c>
      <c r="G18" s="83">
        <f t="shared" si="29"/>
        <v>15618</v>
      </c>
      <c r="H18" s="188">
        <f t="shared" si="29"/>
        <v>16223.414136241403</v>
      </c>
      <c r="I18" s="188">
        <f t="shared" ref="I18:L18" si="30">SUM(I13:I17)</f>
        <v>16849.0955596813</v>
      </c>
      <c r="J18" s="188">
        <f t="shared" si="30"/>
        <v>17473.940423921485</v>
      </c>
      <c r="K18" s="188">
        <f t="shared" si="30"/>
        <v>18143.411551768986</v>
      </c>
      <c r="L18" s="188">
        <f t="shared" si="30"/>
        <v>18864.721084530604</v>
      </c>
      <c r="O18" s="108">
        <f t="shared" si="27"/>
        <v>0.82496509015846031</v>
      </c>
      <c r="P18" s="108">
        <f t="shared" si="17"/>
        <v>0.80994202399403015</v>
      </c>
      <c r="Q18" s="108">
        <f t="shared" si="18"/>
        <v>0.79334335170033954</v>
      </c>
      <c r="R18" s="108">
        <f t="shared" si="19"/>
        <v>0.77951379966079049</v>
      </c>
      <c r="S18" s="108">
        <f t="shared" si="20"/>
        <v>0.77697626983732149</v>
      </c>
      <c r="T18" s="108">
        <f t="shared" si="21"/>
        <v>0.79694810707018837</v>
      </c>
      <c r="U18" s="108">
        <f t="shared" si="28"/>
        <v>0.74984538167535242</v>
      </c>
      <c r="V18" s="108">
        <f t="shared" si="22"/>
        <v>0.72039587160061369</v>
      </c>
      <c r="W18" s="108">
        <f t="shared" si="23"/>
        <v>0.68843422750326677</v>
      </c>
      <c r="X18" s="108">
        <f t="shared" si="24"/>
        <v>0.65465152917983283</v>
      </c>
      <c r="Y18" s="108">
        <f t="shared" si="25"/>
        <v>0.61936461634880957</v>
      </c>
      <c r="Z18" s="108">
        <f t="shared" si="26"/>
        <v>0.68653832526157499</v>
      </c>
    </row>
    <row r="19" spans="1:34" ht="16.5" outlineLevel="1" thickTop="1" thickBot="1" x14ac:dyDescent="0.3">
      <c r="B19" s="327" t="s">
        <v>134</v>
      </c>
      <c r="C19" s="89">
        <v>2883</v>
      </c>
      <c r="D19" s="90">
        <v>3311</v>
      </c>
      <c r="E19" s="90">
        <v>3713</v>
      </c>
      <c r="F19" s="90">
        <v>4290</v>
      </c>
      <c r="G19" s="90">
        <v>4483</v>
      </c>
      <c r="H19" s="189">
        <f>'IS Assumptions'!H27</f>
        <v>5412.2650753768849</v>
      </c>
      <c r="I19" s="189">
        <f>'IS Assumptions'!I27</f>
        <v>6539.5664578356627</v>
      </c>
      <c r="J19" s="189">
        <f>'IS Assumptions'!J27</f>
        <v>7908.2089896745565</v>
      </c>
      <c r="K19" s="189">
        <f>'IS Assumptions'!K27</f>
        <v>9571.1980428952156</v>
      </c>
      <c r="L19" s="189">
        <f>'IS Assumptions'!L27</f>
        <v>11593.462328883017</v>
      </c>
      <c r="O19" s="108">
        <f t="shared" si="27"/>
        <v>0.17503490984153969</v>
      </c>
      <c r="P19" s="108">
        <f t="shared" si="17"/>
        <v>0.1900579760059698</v>
      </c>
      <c r="Q19" s="108">
        <f t="shared" si="18"/>
        <v>0.20665664829966049</v>
      </c>
      <c r="R19" s="108">
        <f t="shared" si="19"/>
        <v>0.22048620033920954</v>
      </c>
      <c r="S19" s="108">
        <f t="shared" si="20"/>
        <v>0.22302373016267849</v>
      </c>
      <c r="T19" s="108">
        <f t="shared" si="21"/>
        <v>0.2030518929298116</v>
      </c>
      <c r="U19" s="108">
        <f t="shared" si="28"/>
        <v>0.25015461832464758</v>
      </c>
      <c r="V19" s="108">
        <f t="shared" si="22"/>
        <v>0.27960412839938631</v>
      </c>
      <c r="W19" s="108">
        <f t="shared" si="23"/>
        <v>0.31156577249673328</v>
      </c>
      <c r="X19" s="108">
        <f t="shared" si="24"/>
        <v>0.34534847082016717</v>
      </c>
      <c r="Y19" s="108">
        <f t="shared" si="25"/>
        <v>0.38063538365119037</v>
      </c>
      <c r="Z19" s="108">
        <f t="shared" si="26"/>
        <v>0.31346167473842496</v>
      </c>
    </row>
    <row r="20" spans="1:34" ht="16.5" outlineLevel="1" thickTop="1" thickBot="1" x14ac:dyDescent="0.3">
      <c r="B20" s="324" t="s">
        <v>141</v>
      </c>
      <c r="C20" s="83">
        <f t="shared" ref="C20:H20" si="31">C19+C18</f>
        <v>16471</v>
      </c>
      <c r="D20" s="83">
        <f t="shared" si="31"/>
        <v>17421</v>
      </c>
      <c r="E20" s="83">
        <f t="shared" si="31"/>
        <v>17967</v>
      </c>
      <c r="F20" s="83">
        <f t="shared" si="31"/>
        <v>19457</v>
      </c>
      <c r="G20" s="83">
        <f t="shared" si="31"/>
        <v>20101</v>
      </c>
      <c r="H20" s="83">
        <f t="shared" si="31"/>
        <v>21635.679211618288</v>
      </c>
      <c r="I20" s="83">
        <f t="shared" ref="I20:L20" si="32">I19+I18</f>
        <v>23388.662017516963</v>
      </c>
      <c r="J20" s="83">
        <f t="shared" si="32"/>
        <v>25382.149413596042</v>
      </c>
      <c r="K20" s="83">
        <f t="shared" si="32"/>
        <v>27714.609594664202</v>
      </c>
      <c r="L20" s="83">
        <f t="shared" si="32"/>
        <v>30458.183413413622</v>
      </c>
      <c r="O20" s="108"/>
      <c r="P20" s="108"/>
      <c r="Q20" s="108"/>
      <c r="R20" s="108"/>
      <c r="S20" s="108"/>
      <c r="T20" s="108"/>
    </row>
    <row r="21" spans="1:34" ht="16.5" thickTop="1" thickBot="1" x14ac:dyDescent="0.3">
      <c r="W21" s="198"/>
      <c r="X21" s="198"/>
      <c r="Y21" s="198"/>
      <c r="Z21" s="198"/>
      <c r="AA21" s="198"/>
    </row>
    <row r="22" spans="1:34" ht="16.5" thickTop="1" thickBot="1" x14ac:dyDescent="0.3">
      <c r="A22" s="31" t="s">
        <v>118</v>
      </c>
      <c r="B22" s="12" t="s">
        <v>140</v>
      </c>
      <c r="C22" s="86"/>
      <c r="D22" s="87"/>
      <c r="E22" s="87"/>
      <c r="F22" s="87"/>
      <c r="G22" s="87"/>
      <c r="H22" s="87"/>
      <c r="I22" s="87"/>
      <c r="J22" s="87"/>
      <c r="K22" s="87"/>
      <c r="L22" s="88"/>
      <c r="W22" s="198"/>
      <c r="X22" s="198"/>
      <c r="Y22" s="198"/>
      <c r="Z22" s="198"/>
      <c r="AA22" s="198"/>
    </row>
    <row r="23" spans="1:34" ht="16.5" outlineLevel="1" thickTop="1" thickBot="1" x14ac:dyDescent="0.3">
      <c r="B23" s="324" t="s">
        <v>133</v>
      </c>
      <c r="C23" s="84"/>
      <c r="D23" s="84"/>
      <c r="E23" s="85"/>
      <c r="F23" s="85"/>
      <c r="G23" s="85"/>
      <c r="H23" s="85"/>
      <c r="I23" s="85"/>
      <c r="J23" s="85"/>
      <c r="K23" s="85"/>
      <c r="L23" s="85"/>
      <c r="W23" s="198"/>
      <c r="X23" s="198"/>
      <c r="Y23" s="198"/>
      <c r="Z23" s="198"/>
      <c r="AA23" s="198"/>
    </row>
    <row r="24" spans="1:34" ht="16.5" outlineLevel="1" thickTop="1" thickBot="1" x14ac:dyDescent="0.3">
      <c r="B24" s="559" t="s">
        <v>135</v>
      </c>
      <c r="C24" s="113">
        <f>IFERROR(C13/3348-1,"-")</f>
        <v>0.11738351254480284</v>
      </c>
      <c r="D24" s="113">
        <f t="shared" ref="D24:G29" si="33">IFERROR(D13/C13-1,"-")</f>
        <v>-1.2563485699011001E-2</v>
      </c>
      <c r="E24" s="113">
        <f t="shared" si="33"/>
        <v>3.302652950730911E-2</v>
      </c>
      <c r="F24" s="113">
        <f t="shared" si="33"/>
        <v>2.8563941299790452E-2</v>
      </c>
      <c r="G24" s="113">
        <f t="shared" si="33"/>
        <v>4.7898089171974467E-2</v>
      </c>
      <c r="H24" s="113">
        <f t="shared" ref="H24:H29" si="34">IFERROR(H13/G13-1,"-")</f>
        <v>4.7998089171974456E-2</v>
      </c>
      <c r="I24" s="113">
        <f t="shared" ref="I24:I29" si="35">IFERROR(I13/H13-1,"-")</f>
        <v>4.824808917197454E-2</v>
      </c>
      <c r="J24" s="113">
        <f t="shared" ref="J24:J29" si="36">IFERROR(J13/I13-1,"-")</f>
        <v>4.8498089171974401E-2</v>
      </c>
      <c r="K24" s="113">
        <f t="shared" ref="K24:K29" si="37">IFERROR(K13/J13-1,"-")</f>
        <v>4.8748089171974485E-2</v>
      </c>
      <c r="L24" s="113">
        <f t="shared" ref="L24:L29" si="38">IFERROR(L13/K13-1,"-")</f>
        <v>4.8998089171974568E-2</v>
      </c>
      <c r="W24" s="198"/>
      <c r="X24" s="198"/>
      <c r="Y24" s="198"/>
      <c r="Z24" s="198"/>
      <c r="AA24" s="198"/>
    </row>
    <row r="25" spans="1:34" ht="16.5" outlineLevel="1" thickTop="1" thickBot="1" x14ac:dyDescent="0.3">
      <c r="B25" s="559" t="s">
        <v>136</v>
      </c>
      <c r="C25" s="113">
        <f>IFERROR(C14/3605-1,"-")</f>
        <v>-5.1872399445214934E-2</v>
      </c>
      <c r="D25" s="113">
        <f t="shared" si="33"/>
        <v>7.1679344645991794E-2</v>
      </c>
      <c r="E25" s="113">
        <f t="shared" si="33"/>
        <v>8.7087087087087012E-2</v>
      </c>
      <c r="F25" s="113">
        <f t="shared" si="33"/>
        <v>0.16524359618282269</v>
      </c>
      <c r="G25" s="113">
        <f t="shared" si="33"/>
        <v>3.0603448275862144E-2</v>
      </c>
      <c r="H25" s="113">
        <f t="shared" si="34"/>
        <v>6.0548215349309764E-2</v>
      </c>
      <c r="I25" s="113">
        <f t="shared" si="35"/>
        <v>5.5548215349309649E-2</v>
      </c>
      <c r="J25" s="113">
        <f t="shared" si="36"/>
        <v>5.6548215349309761E-2</v>
      </c>
      <c r="K25" s="113">
        <f t="shared" si="37"/>
        <v>5.754821534930965E-2</v>
      </c>
      <c r="L25" s="113">
        <f t="shared" si="38"/>
        <v>5.754821534930965E-2</v>
      </c>
      <c r="W25" s="198"/>
      <c r="X25" s="198"/>
      <c r="Y25" s="198"/>
      <c r="Z25" s="198"/>
      <c r="AA25" s="198"/>
    </row>
    <row r="26" spans="1:34" ht="16.5" outlineLevel="1" thickTop="1" thickBot="1" x14ac:dyDescent="0.3">
      <c r="B26" s="559" t="s">
        <v>137</v>
      </c>
      <c r="C26" s="113">
        <f>IFERROR(C15/2502-1,"-")</f>
        <v>9.7921662669864018E-2</v>
      </c>
      <c r="D26" s="113">
        <f t="shared" si="33"/>
        <v>3.4219148161630963E-2</v>
      </c>
      <c r="E26" s="113">
        <f t="shared" si="33"/>
        <v>-0.10313269975360784</v>
      </c>
      <c r="F26" s="113">
        <f t="shared" si="33"/>
        <v>7.4175824175824134E-2</v>
      </c>
      <c r="G26" s="113">
        <f t="shared" si="33"/>
        <v>1.2056996711728107E-2</v>
      </c>
      <c r="H26" s="113">
        <f t="shared" si="34"/>
        <v>2.3048186393087811E-2</v>
      </c>
      <c r="I26" s="113">
        <f t="shared" si="35"/>
        <v>2.31481863930878E-2</v>
      </c>
      <c r="J26" s="113">
        <f t="shared" si="36"/>
        <v>2.3398186393087883E-2</v>
      </c>
      <c r="K26" s="113">
        <f t="shared" si="37"/>
        <v>2.3648186393087967E-2</v>
      </c>
      <c r="L26" s="113">
        <f t="shared" si="38"/>
        <v>2.3898186393087828E-2</v>
      </c>
      <c r="W26" s="198"/>
      <c r="X26" s="198"/>
      <c r="Y26" s="198"/>
      <c r="Z26" s="198"/>
      <c r="AA26" s="198"/>
    </row>
    <row r="27" spans="1:34" ht="16.5" outlineLevel="1" thickTop="1" thickBot="1" x14ac:dyDescent="0.3">
      <c r="B27" s="559" t="s">
        <v>138</v>
      </c>
      <c r="C27" s="113">
        <f>IFERROR(C16/2734-1,"-")</f>
        <v>-1.2070226773957526E-2</v>
      </c>
      <c r="D27" s="113">
        <f t="shared" si="33"/>
        <v>6.1458718992965622E-2</v>
      </c>
      <c r="E27" s="113">
        <f t="shared" si="33"/>
        <v>-1.4300662713637946E-2</v>
      </c>
      <c r="F27" s="113">
        <f t="shared" si="33"/>
        <v>-1.556970983722572E-2</v>
      </c>
      <c r="G27" s="113">
        <f t="shared" si="33"/>
        <v>2.7318475916606744E-2</v>
      </c>
      <c r="H27" s="113">
        <f t="shared" si="34"/>
        <v>9.3673191169503234E-3</v>
      </c>
      <c r="I27" s="113">
        <f t="shared" si="35"/>
        <v>1.3654828295131871E-2</v>
      </c>
      <c r="J27" s="113">
        <f t="shared" si="36"/>
        <v>4.0940501555650766E-3</v>
      </c>
      <c r="K27" s="113">
        <f t="shared" si="37"/>
        <v>7.7729927294056811E-3</v>
      </c>
      <c r="L27" s="113">
        <f t="shared" si="38"/>
        <v>1.2441533242731895E-2</v>
      </c>
      <c r="W27" s="198"/>
      <c r="X27" s="198"/>
      <c r="Y27" s="198"/>
      <c r="Z27" s="198"/>
      <c r="AA27" s="198"/>
    </row>
    <row r="28" spans="1:34" ht="16.5" outlineLevel="1" thickTop="1" thickBot="1" x14ac:dyDescent="0.3">
      <c r="B28" s="559" t="s">
        <v>139</v>
      </c>
      <c r="C28" s="113">
        <f>IFERROR(C17/967-1,"-")</f>
        <v>1.4477766287487093E-2</v>
      </c>
      <c r="D28" s="113">
        <f t="shared" si="33"/>
        <v>6.523955147808369E-2</v>
      </c>
      <c r="E28" s="113">
        <f t="shared" si="33"/>
        <v>3.5406698564593331E-2</v>
      </c>
      <c r="F28" s="113">
        <f t="shared" si="33"/>
        <v>9.242144177448175E-4</v>
      </c>
      <c r="G28" s="113">
        <f t="shared" si="33"/>
        <v>1.1080332409972193E-2</v>
      </c>
      <c r="H28" s="113">
        <f t="shared" si="34"/>
        <v>2.5425712631576225E-2</v>
      </c>
      <c r="I28" s="113">
        <f t="shared" si="35"/>
        <v>2.7615301900393963E-2</v>
      </c>
      <c r="J28" s="113">
        <f t="shared" si="36"/>
        <v>2.009045198485615E-2</v>
      </c>
      <c r="K28" s="113">
        <f t="shared" si="37"/>
        <v>1.702720266890867E-2</v>
      </c>
      <c r="L28" s="113">
        <f t="shared" si="38"/>
        <v>2.0247800319141529E-2</v>
      </c>
      <c r="W28" s="198"/>
      <c r="X28" s="198"/>
      <c r="Y28" s="198"/>
      <c r="Z28" s="198"/>
      <c r="AA28" s="198"/>
    </row>
    <row r="29" spans="1:34" ht="16.5" outlineLevel="1" thickTop="1" thickBot="1" x14ac:dyDescent="0.3">
      <c r="B29" s="560" t="s">
        <v>147</v>
      </c>
      <c r="C29" s="113">
        <f>IFERROR(C18/13156-1,"-")</f>
        <v>3.28367284889024E-2</v>
      </c>
      <c r="D29" s="113">
        <f t="shared" si="33"/>
        <v>3.8416249632028165E-2</v>
      </c>
      <c r="E29" s="113">
        <f t="shared" si="33"/>
        <v>1.0205527994330277E-2</v>
      </c>
      <c r="F29" s="113">
        <f t="shared" si="33"/>
        <v>6.4052195874842122E-2</v>
      </c>
      <c r="G29" s="113">
        <f t="shared" si="33"/>
        <v>2.9735610206369056E-2</v>
      </c>
      <c r="H29" s="113">
        <f t="shared" si="34"/>
        <v>3.8763870933627986E-2</v>
      </c>
      <c r="I29" s="113">
        <f t="shared" si="35"/>
        <v>3.8566569168828169E-2</v>
      </c>
      <c r="J29" s="113">
        <f t="shared" si="36"/>
        <v>3.7084771822138318E-2</v>
      </c>
      <c r="K29" s="113">
        <f t="shared" si="37"/>
        <v>3.8312544944413718E-2</v>
      </c>
      <c r="L29" s="113">
        <f t="shared" si="38"/>
        <v>3.9756003478369495E-2</v>
      </c>
      <c r="W29" s="198"/>
      <c r="X29" s="198"/>
      <c r="Y29" s="198"/>
      <c r="Z29" s="198"/>
      <c r="AA29" s="198"/>
    </row>
    <row r="30" spans="1:34" ht="16.5" outlineLevel="1" thickTop="1" thickBot="1" x14ac:dyDescent="0.3">
      <c r="W30" s="198"/>
      <c r="X30" s="198"/>
      <c r="Y30" s="198"/>
      <c r="Z30" s="198"/>
      <c r="AA30" s="198"/>
    </row>
    <row r="31" spans="1:34" ht="16.5" outlineLevel="1" thickTop="1" thickBot="1" x14ac:dyDescent="0.3">
      <c r="B31" s="561" t="s">
        <v>134</v>
      </c>
      <c r="C31" s="113">
        <f>IFERROR(C19/2388-1,"-")</f>
        <v>0.20728643216080411</v>
      </c>
      <c r="D31" s="113">
        <f t="shared" ref="D31:G32" si="39">IFERROR(D19/C19-1,"-")</f>
        <v>0.14845646895594866</v>
      </c>
      <c r="E31" s="113">
        <f t="shared" si="39"/>
        <v>0.1214134702506795</v>
      </c>
      <c r="F31" s="113">
        <f t="shared" si="39"/>
        <v>0.15539994613520069</v>
      </c>
      <c r="G31" s="113">
        <f t="shared" si="39"/>
        <v>4.498834498834503E-2</v>
      </c>
      <c r="H31" s="113">
        <f t="shared" ref="H31:H32" si="40">IFERROR(H19/G19-1,"-")</f>
        <v>0.20728643216080411</v>
      </c>
      <c r="I31" s="113">
        <f t="shared" ref="I31:I32" si="41">IFERROR(I19/H19-1,"-")</f>
        <v>0.20828643216080422</v>
      </c>
      <c r="J31" s="113">
        <f t="shared" ref="J31:J32" si="42">IFERROR(J19/I19-1,"-")</f>
        <v>0.20928643216080411</v>
      </c>
      <c r="K31" s="113">
        <f t="shared" ref="K31:K32" si="43">IFERROR(K19/J19-1,"-")</f>
        <v>0.210286432160804</v>
      </c>
      <c r="L31" s="113">
        <f t="shared" ref="L31:L32" si="44">IFERROR(L19/K19-1,"-")</f>
        <v>0.21128643216080412</v>
      </c>
      <c r="W31" s="198"/>
      <c r="X31" s="198"/>
      <c r="Y31" s="198"/>
      <c r="Z31" s="198"/>
      <c r="AA31" s="198"/>
    </row>
    <row r="32" spans="1:34" ht="16.5" outlineLevel="1" thickTop="1" thickBot="1" x14ac:dyDescent="0.3">
      <c r="B32" s="561" t="s">
        <v>141</v>
      </c>
      <c r="C32" s="113">
        <f>IFERROR(C20/15544-1,"-")</f>
        <v>5.9637159032424059E-2</v>
      </c>
      <c r="D32" s="113">
        <f t="shared" si="39"/>
        <v>5.767712950033399E-2</v>
      </c>
      <c r="E32" s="113">
        <f t="shared" si="39"/>
        <v>3.1341484415360776E-2</v>
      </c>
      <c r="F32" s="113">
        <f t="shared" si="39"/>
        <v>8.2929815773362225E-2</v>
      </c>
      <c r="G32" s="113">
        <f t="shared" si="39"/>
        <v>3.3098627743228581E-2</v>
      </c>
      <c r="H32" s="113">
        <f t="shared" si="40"/>
        <v>7.6348401155081236E-2</v>
      </c>
      <c r="I32" s="113">
        <f t="shared" si="41"/>
        <v>8.102277671769742E-2</v>
      </c>
      <c r="J32" s="113">
        <f t="shared" si="42"/>
        <v>8.523306697005828E-2</v>
      </c>
      <c r="K32" s="113">
        <f t="shared" si="43"/>
        <v>9.1893721964254382E-2</v>
      </c>
      <c r="L32" s="113">
        <f t="shared" si="44"/>
        <v>9.8993774722976102E-2</v>
      </c>
      <c r="W32" s="198"/>
      <c r="X32" s="198"/>
      <c r="Y32" s="198"/>
      <c r="Z32" s="198"/>
      <c r="AA32" s="198"/>
      <c r="AH32" s="91"/>
    </row>
    <row r="33" spans="34:34" ht="15.75" outlineLevel="1" thickTop="1" x14ac:dyDescent="0.25">
      <c r="AH33" s="92"/>
    </row>
    <row r="34" spans="34:34" outlineLevel="1" x14ac:dyDescent="0.25">
      <c r="AH34" s="93"/>
    </row>
    <row r="35" spans="34:34" outlineLevel="1" x14ac:dyDescent="0.25">
      <c r="AH35" s="94"/>
    </row>
    <row r="36" spans="34:34" outlineLevel="1" x14ac:dyDescent="0.25">
      <c r="AH36" s="95"/>
    </row>
    <row r="37" spans="34:34" outlineLevel="1" x14ac:dyDescent="0.25"/>
    <row r="38" spans="34:34" outlineLevel="1" x14ac:dyDescent="0.25"/>
    <row r="39" spans="34:34" outlineLevel="1" x14ac:dyDescent="0.25"/>
    <row r="40" spans="34:34" outlineLevel="1" x14ac:dyDescent="0.25"/>
    <row r="41" spans="34:34" outlineLevel="1" x14ac:dyDescent="0.25"/>
    <row r="42" spans="34:34" outlineLevel="1" x14ac:dyDescent="0.25"/>
    <row r="43" spans="34:34" outlineLevel="1" x14ac:dyDescent="0.25"/>
    <row r="44" spans="34:34" outlineLevel="1" x14ac:dyDescent="0.25"/>
    <row r="45" spans="34:34" outlineLevel="1" x14ac:dyDescent="0.25"/>
    <row r="46" spans="34:34" outlineLevel="1" x14ac:dyDescent="0.25"/>
    <row r="47" spans="34:34" outlineLevel="1" x14ac:dyDescent="0.25"/>
    <row r="48" spans="34:34" outlineLevel="1" x14ac:dyDescent="0.25"/>
    <row r="49" spans="2:13" outlineLevel="1" x14ac:dyDescent="0.25"/>
    <row r="50" spans="2:13" outlineLevel="1" x14ac:dyDescent="0.25"/>
    <row r="51" spans="2:13" ht="21" outlineLevel="1" x14ac:dyDescent="0.45">
      <c r="B51" s="255" t="s">
        <v>354</v>
      </c>
      <c r="C51" s="256"/>
      <c r="D51" s="256"/>
      <c r="E51" s="256"/>
      <c r="F51" s="256"/>
      <c r="G51" s="256"/>
      <c r="H51" s="256"/>
      <c r="I51" s="256"/>
      <c r="J51" s="256"/>
      <c r="K51" s="256"/>
      <c r="L51" s="256"/>
      <c r="M51" s="256"/>
    </row>
    <row r="52" spans="2:13" outlineLevel="1" x14ac:dyDescent="0.25"/>
    <row r="53" spans="2:13" outlineLevel="1" x14ac:dyDescent="0.25"/>
    <row r="54" spans="2:13" outlineLevel="1" x14ac:dyDescent="0.25"/>
    <row r="55" spans="2:13" outlineLevel="1" x14ac:dyDescent="0.25"/>
    <row r="56" spans="2:13" outlineLevel="1" x14ac:dyDescent="0.25"/>
    <row r="57" spans="2:13" outlineLevel="1" x14ac:dyDescent="0.25"/>
    <row r="58" spans="2:13" outlineLevel="1" x14ac:dyDescent="0.25"/>
    <row r="59" spans="2:13" outlineLevel="1" x14ac:dyDescent="0.25"/>
    <row r="60" spans="2:13" outlineLevel="1" x14ac:dyDescent="0.25"/>
    <row r="61" spans="2:13" outlineLevel="1" x14ac:dyDescent="0.25"/>
    <row r="62" spans="2:13" outlineLevel="1" x14ac:dyDescent="0.25"/>
    <row r="63" spans="2:13" outlineLevel="1" x14ac:dyDescent="0.25"/>
    <row r="64" spans="2:13" outlineLevel="1" x14ac:dyDescent="0.25"/>
    <row r="65" spans="1:12" outlineLevel="1" x14ac:dyDescent="0.25"/>
    <row r="66" spans="1:12" outlineLevel="1" x14ac:dyDescent="0.25"/>
    <row r="67" spans="1:12" outlineLevel="1" x14ac:dyDescent="0.25"/>
    <row r="68" spans="1:12" outlineLevel="1" x14ac:dyDescent="0.25"/>
    <row r="69" spans="1:12" ht="15.75" outlineLevel="1" thickBot="1" x14ac:dyDescent="0.3"/>
    <row r="70" spans="1:12" ht="16.5" thickTop="1" thickBot="1" x14ac:dyDescent="0.3">
      <c r="A70" s="31" t="s">
        <v>119</v>
      </c>
      <c r="B70" s="12" t="s">
        <v>142</v>
      </c>
      <c r="C70" s="86"/>
      <c r="D70" s="87"/>
      <c r="E70" s="87"/>
      <c r="F70" s="87"/>
      <c r="G70" s="87"/>
      <c r="H70" s="87"/>
      <c r="I70" s="87"/>
      <c r="J70" s="87"/>
      <c r="K70" s="87"/>
      <c r="L70" s="88"/>
    </row>
    <row r="71" spans="1:12" ht="16.5" thickTop="1" thickBot="1" x14ac:dyDescent="0.3">
      <c r="B71" s="324" t="s">
        <v>133</v>
      </c>
      <c r="C71" s="84"/>
      <c r="D71" s="84"/>
      <c r="E71" s="85"/>
      <c r="F71" s="85"/>
      <c r="G71" s="85"/>
      <c r="H71" s="85"/>
      <c r="I71" s="85"/>
      <c r="J71" s="85"/>
      <c r="K71" s="85"/>
      <c r="L71" s="85"/>
    </row>
    <row r="72" spans="1:12" ht="16.5" outlineLevel="1" thickTop="1" thickBot="1" x14ac:dyDescent="0.3">
      <c r="B72" s="325" t="s">
        <v>135</v>
      </c>
      <c r="C72" s="14">
        <v>988</v>
      </c>
      <c r="D72" s="15">
        <v>754</v>
      </c>
      <c r="E72" s="15">
        <v>741</v>
      </c>
      <c r="F72" s="15">
        <v>871</v>
      </c>
      <c r="G72" s="15">
        <v>839</v>
      </c>
      <c r="H72" s="87"/>
      <c r="I72" s="87"/>
      <c r="J72" s="87"/>
      <c r="K72" s="87"/>
      <c r="L72" s="87"/>
    </row>
    <row r="73" spans="1:12" ht="16.5" outlineLevel="1" thickTop="1" thickBot="1" x14ac:dyDescent="0.3">
      <c r="B73" s="325" t="s">
        <v>136</v>
      </c>
      <c r="C73" s="14">
        <v>975</v>
      </c>
      <c r="D73" s="15">
        <v>1012</v>
      </c>
      <c r="E73" s="15">
        <v>1108</v>
      </c>
      <c r="F73" s="15">
        <v>1417</v>
      </c>
      <c r="G73" s="15">
        <v>1526</v>
      </c>
      <c r="H73" s="87"/>
      <c r="I73" s="87"/>
      <c r="J73" s="87"/>
      <c r="K73" s="87"/>
      <c r="L73" s="87"/>
    </row>
    <row r="74" spans="1:12" ht="16.5" outlineLevel="1" thickTop="1" thickBot="1" x14ac:dyDescent="0.3">
      <c r="B74" s="325" t="s">
        <v>137</v>
      </c>
      <c r="C74" s="14">
        <v>652</v>
      </c>
      <c r="D74" s="15">
        <v>682</v>
      </c>
      <c r="E74" s="15">
        <v>534</v>
      </c>
      <c r="F74" s="15">
        <v>573</v>
      </c>
      <c r="G74" s="15">
        <v>658</v>
      </c>
      <c r="H74" s="87"/>
      <c r="I74" s="87"/>
      <c r="J74" s="87"/>
      <c r="K74" s="87"/>
      <c r="L74" s="87"/>
    </row>
    <row r="75" spans="1:12" ht="16.5" outlineLevel="1" thickTop="1" thickBot="1" x14ac:dyDescent="0.3">
      <c r="B75" s="325" t="s">
        <v>138</v>
      </c>
      <c r="C75" s="14">
        <v>773</v>
      </c>
      <c r="D75" s="15">
        <v>844</v>
      </c>
      <c r="E75" s="15">
        <v>737</v>
      </c>
      <c r="F75" s="15">
        <v>767</v>
      </c>
      <c r="G75" s="15">
        <v>812</v>
      </c>
      <c r="H75" s="87"/>
      <c r="I75" s="87"/>
      <c r="J75" s="87"/>
      <c r="K75" s="87"/>
      <c r="L75" s="87"/>
    </row>
    <row r="76" spans="1:12" ht="16.5" outlineLevel="1" thickTop="1" thickBot="1" x14ac:dyDescent="0.3">
      <c r="B76" s="325" t="s">
        <v>139</v>
      </c>
      <c r="C76" s="14">
        <v>206</v>
      </c>
      <c r="D76" s="15">
        <v>203</v>
      </c>
      <c r="E76" s="15">
        <v>228</v>
      </c>
      <c r="F76" s="15">
        <v>254</v>
      </c>
      <c r="G76" s="15">
        <v>253</v>
      </c>
      <c r="H76" s="87"/>
      <c r="I76" s="87"/>
      <c r="J76" s="87"/>
      <c r="K76" s="87"/>
      <c r="L76" s="87"/>
    </row>
    <row r="77" spans="1:12" ht="16.5" outlineLevel="1" thickTop="1" thickBot="1" x14ac:dyDescent="0.3">
      <c r="B77" s="562" t="s">
        <v>147</v>
      </c>
      <c r="C77" s="83">
        <f>SUM(C72:C76)</f>
        <v>3594</v>
      </c>
      <c r="D77" s="83">
        <f>SUM(D72:D76)</f>
        <v>3495</v>
      </c>
      <c r="E77" s="83">
        <f>SUM(E72:E76)</f>
        <v>3348</v>
      </c>
      <c r="F77" s="83">
        <f>SUM(F72:F76)</f>
        <v>3882</v>
      </c>
      <c r="G77" s="83">
        <f>SUM(G72:G76)</f>
        <v>4088</v>
      </c>
      <c r="H77" s="87"/>
      <c r="I77" s="87"/>
      <c r="J77" s="87"/>
      <c r="K77" s="87"/>
      <c r="L77" s="87"/>
    </row>
    <row r="78" spans="1:12" ht="16.5" outlineLevel="1" thickTop="1" thickBot="1" x14ac:dyDescent="0.3"/>
    <row r="79" spans="1:12" ht="16.5" outlineLevel="1" thickTop="1" thickBot="1" x14ac:dyDescent="0.3">
      <c r="B79" s="324" t="s">
        <v>134</v>
      </c>
      <c r="C79" s="14">
        <v>793</v>
      </c>
      <c r="D79" s="15">
        <v>901</v>
      </c>
      <c r="E79" s="15">
        <v>850</v>
      </c>
      <c r="F79" s="15">
        <v>806</v>
      </c>
      <c r="G79" s="15">
        <v>965</v>
      </c>
      <c r="H79" s="87"/>
      <c r="I79" s="87"/>
      <c r="J79" s="87"/>
      <c r="K79" s="87"/>
      <c r="L79" s="87"/>
    </row>
    <row r="80" spans="1:12" ht="16.5" outlineLevel="1" thickTop="1" thickBot="1" x14ac:dyDescent="0.3">
      <c r="B80" s="324" t="s">
        <v>144</v>
      </c>
      <c r="C80" s="14">
        <v>-654</v>
      </c>
      <c r="D80" s="14">
        <v>-502</v>
      </c>
      <c r="E80" s="15">
        <v>-1305</v>
      </c>
      <c r="F80" s="15">
        <v>-704</v>
      </c>
      <c r="G80" s="15">
        <v>-784</v>
      </c>
      <c r="H80" s="87"/>
      <c r="I80" s="87"/>
      <c r="J80" s="87"/>
      <c r="K80" s="87"/>
      <c r="L80" s="87"/>
    </row>
    <row r="81" spans="1:17" ht="16.5" outlineLevel="1" thickTop="1" thickBot="1" x14ac:dyDescent="0.3">
      <c r="B81" s="324" t="s">
        <v>145</v>
      </c>
      <c r="C81" s="83">
        <f>C79+C77+C80</f>
        <v>3733</v>
      </c>
      <c r="D81" s="83">
        <f>D79+D77+D80</f>
        <v>3894</v>
      </c>
      <c r="E81" s="83">
        <f>E79+E77+E80</f>
        <v>2893</v>
      </c>
      <c r="F81" s="83">
        <f>F79+F77+F80</f>
        <v>3984</v>
      </c>
      <c r="G81" s="83">
        <f>G79+G77+G80</f>
        <v>4269</v>
      </c>
      <c r="H81" s="87"/>
      <c r="I81" s="87"/>
      <c r="J81" s="87"/>
      <c r="K81" s="87"/>
      <c r="L81" s="87"/>
      <c r="P81" s="7"/>
      <c r="Q81" s="7"/>
    </row>
    <row r="82" spans="1:17" ht="16.5" thickTop="1" thickBot="1" x14ac:dyDescent="0.3"/>
    <row r="83" spans="1:17" ht="16.5" thickTop="1" thickBot="1" x14ac:dyDescent="0.3">
      <c r="A83" s="31" t="s">
        <v>120</v>
      </c>
      <c r="B83" s="12" t="s">
        <v>143</v>
      </c>
      <c r="C83" s="86"/>
      <c r="D83" s="87"/>
      <c r="E83" s="87"/>
      <c r="F83" s="87"/>
      <c r="G83" s="87"/>
      <c r="H83" s="87"/>
      <c r="I83" s="87"/>
      <c r="J83" s="87"/>
      <c r="K83" s="87"/>
      <c r="L83" s="88"/>
    </row>
    <row r="84" spans="1:17" ht="16.5" outlineLevel="1" thickTop="1" thickBot="1" x14ac:dyDescent="0.3">
      <c r="B84" s="324" t="s">
        <v>133</v>
      </c>
      <c r="C84" s="84"/>
      <c r="D84" s="84"/>
      <c r="E84" s="85"/>
      <c r="F84" s="85"/>
      <c r="G84" s="85"/>
      <c r="H84" s="85"/>
      <c r="I84" s="85"/>
      <c r="J84" s="85"/>
      <c r="K84" s="85"/>
      <c r="L84" s="85"/>
    </row>
    <row r="85" spans="1:17" ht="16.5" outlineLevel="1" thickTop="1" thickBot="1" x14ac:dyDescent="0.3">
      <c r="B85" s="559" t="s">
        <v>135</v>
      </c>
      <c r="C85" s="113">
        <f t="shared" ref="C85:G90" si="45">IFERROR(C72/C13,"-")</f>
        <v>0.26410050788559208</v>
      </c>
      <c r="D85" s="113">
        <f t="shared" si="45"/>
        <v>0.20411478072550082</v>
      </c>
      <c r="E85" s="113">
        <f t="shared" si="45"/>
        <v>0.19418238993710693</v>
      </c>
      <c r="F85" s="113">
        <f t="shared" si="45"/>
        <v>0.22191082802547771</v>
      </c>
      <c r="G85" s="113">
        <f t="shared" si="45"/>
        <v>0.20398735716022368</v>
      </c>
      <c r="H85" s="209"/>
      <c r="I85" s="209"/>
      <c r="J85" s="209"/>
      <c r="K85" s="209"/>
      <c r="L85" s="209"/>
    </row>
    <row r="86" spans="1:17" ht="16.5" outlineLevel="1" thickTop="1" thickBot="1" x14ac:dyDescent="0.3">
      <c r="B86" s="559" t="s">
        <v>136</v>
      </c>
      <c r="C86" s="113">
        <f t="shared" si="45"/>
        <v>0.28525453481568169</v>
      </c>
      <c r="D86" s="113">
        <f t="shared" si="45"/>
        <v>0.27627627627627627</v>
      </c>
      <c r="E86" s="113">
        <f t="shared" si="45"/>
        <v>0.27825213460572579</v>
      </c>
      <c r="F86" s="113">
        <f t="shared" si="45"/>
        <v>0.30538793103448275</v>
      </c>
      <c r="G86" s="113">
        <f t="shared" si="45"/>
        <v>0.31911334169803429</v>
      </c>
      <c r="H86" s="209"/>
      <c r="I86" s="209"/>
      <c r="J86" s="209"/>
      <c r="K86" s="209"/>
      <c r="L86" s="209"/>
    </row>
    <row r="87" spans="1:17" ht="16.5" outlineLevel="1" thickTop="1" thickBot="1" x14ac:dyDescent="0.3">
      <c r="B87" s="559" t="s">
        <v>137</v>
      </c>
      <c r="C87" s="113">
        <f t="shared" si="45"/>
        <v>0.23734983618492903</v>
      </c>
      <c r="D87" s="113">
        <f t="shared" si="45"/>
        <v>0.24005631819781767</v>
      </c>
      <c r="E87" s="113">
        <f t="shared" si="45"/>
        <v>0.20957613814756673</v>
      </c>
      <c r="F87" s="113">
        <f t="shared" si="45"/>
        <v>0.20935330654000731</v>
      </c>
      <c r="G87" s="113">
        <f t="shared" si="45"/>
        <v>0.2375451263537906</v>
      </c>
      <c r="H87" s="209"/>
      <c r="I87" s="209"/>
      <c r="J87" s="209"/>
      <c r="K87" s="209"/>
      <c r="L87" s="209"/>
    </row>
    <row r="88" spans="1:17" ht="16.5" outlineLevel="1" thickTop="1" thickBot="1" x14ac:dyDescent="0.3">
      <c r="B88" s="559" t="s">
        <v>138</v>
      </c>
      <c r="C88" s="113">
        <f t="shared" si="45"/>
        <v>0.28619029988893002</v>
      </c>
      <c r="D88" s="113">
        <f t="shared" si="45"/>
        <v>0.29438437391001049</v>
      </c>
      <c r="E88" s="113">
        <f t="shared" si="45"/>
        <v>0.26079263977353151</v>
      </c>
      <c r="F88" s="113">
        <f t="shared" si="45"/>
        <v>0.27570093457943923</v>
      </c>
      <c r="G88" s="113">
        <f t="shared" si="45"/>
        <v>0.28411476557032889</v>
      </c>
      <c r="H88" s="209"/>
      <c r="I88" s="209"/>
      <c r="J88" s="209"/>
      <c r="K88" s="209"/>
      <c r="L88" s="209"/>
    </row>
    <row r="89" spans="1:17" ht="16.5" outlineLevel="1" thickTop="1" thickBot="1" x14ac:dyDescent="0.3">
      <c r="B89" s="559" t="s">
        <v>139</v>
      </c>
      <c r="C89" s="113">
        <f t="shared" si="45"/>
        <v>0.20998980632008155</v>
      </c>
      <c r="D89" s="113">
        <f t="shared" si="45"/>
        <v>0.19425837320574163</v>
      </c>
      <c r="E89" s="113">
        <f t="shared" si="45"/>
        <v>0.21072088724584104</v>
      </c>
      <c r="F89" s="113">
        <f t="shared" si="45"/>
        <v>0.23453370267774701</v>
      </c>
      <c r="G89" s="113">
        <f t="shared" si="45"/>
        <v>0.23105022831050229</v>
      </c>
      <c r="H89" s="209"/>
      <c r="I89" s="209"/>
      <c r="J89" s="209"/>
      <c r="K89" s="209"/>
      <c r="L89" s="209"/>
    </row>
    <row r="90" spans="1:17" ht="16.5" outlineLevel="1" thickTop="1" thickBot="1" x14ac:dyDescent="0.3">
      <c r="B90" s="560" t="s">
        <v>147</v>
      </c>
      <c r="C90" s="113">
        <f t="shared" si="45"/>
        <v>0.26449808654695317</v>
      </c>
      <c r="D90" s="113">
        <f t="shared" si="45"/>
        <v>0.2476966690290574</v>
      </c>
      <c r="E90" s="113">
        <f t="shared" si="45"/>
        <v>0.23488143678967308</v>
      </c>
      <c r="F90" s="113">
        <f t="shared" si="45"/>
        <v>0.2559504186721171</v>
      </c>
      <c r="G90" s="113">
        <f t="shared" si="45"/>
        <v>0.26174926367012419</v>
      </c>
      <c r="H90" s="209"/>
      <c r="I90" s="209"/>
      <c r="J90" s="209"/>
      <c r="K90" s="209"/>
      <c r="L90" s="209"/>
    </row>
    <row r="91" spans="1:17" ht="16.5" outlineLevel="1" thickTop="1" thickBot="1" x14ac:dyDescent="0.3">
      <c r="B91" s="29"/>
      <c r="C91" s="29"/>
      <c r="D91" s="29"/>
      <c r="E91" s="29"/>
      <c r="F91" s="29"/>
      <c r="G91" s="29"/>
      <c r="H91" s="29"/>
      <c r="I91" s="29"/>
      <c r="J91" s="29"/>
      <c r="K91" s="29"/>
      <c r="L91" s="29"/>
    </row>
    <row r="92" spans="1:17" ht="16.5" outlineLevel="1" thickTop="1" thickBot="1" x14ac:dyDescent="0.3">
      <c r="B92" s="561" t="s">
        <v>134</v>
      </c>
      <c r="C92" s="113">
        <f>IFERROR(C79/C19,"-")</f>
        <v>0.27506070065903571</v>
      </c>
      <c r="D92" s="113">
        <f>IFERROR(D79/D19,"-")</f>
        <v>0.27212322561159769</v>
      </c>
      <c r="E92" s="113">
        <f>IFERROR(E79/E19,"-")</f>
        <v>0.22892539725289524</v>
      </c>
      <c r="F92" s="113">
        <f>IFERROR(F79/F19,"-")</f>
        <v>0.18787878787878787</v>
      </c>
      <c r="G92" s="113">
        <f>IFERROR(G79/G19,"-")</f>
        <v>0.21525763997323222</v>
      </c>
      <c r="H92" s="209"/>
      <c r="I92" s="209"/>
      <c r="J92" s="209"/>
      <c r="K92" s="209"/>
      <c r="L92" s="209"/>
    </row>
    <row r="93" spans="1:17" ht="16.5" outlineLevel="1" thickTop="1" thickBot="1" x14ac:dyDescent="0.3">
      <c r="B93" s="561" t="s">
        <v>144</v>
      </c>
      <c r="C93" s="210" t="str">
        <f>IFERROR(C80/CAB20,"-")</f>
        <v>-</v>
      </c>
      <c r="D93" s="210" t="str">
        <f>IFERROR(D80/CAC20,"-")</f>
        <v>-</v>
      </c>
      <c r="E93" s="210" t="str">
        <f>IFERROR(E80/CAD20,"-")</f>
        <v>-</v>
      </c>
      <c r="F93" s="210" t="str">
        <f>IFERROR(F80/CAE20,"-")</f>
        <v>-</v>
      </c>
      <c r="G93" s="210" t="str">
        <f>IFERROR(G80/CAF20,"-")</f>
        <v>-</v>
      </c>
      <c r="H93" s="209"/>
      <c r="I93" s="209"/>
      <c r="J93" s="209"/>
      <c r="K93" s="209"/>
      <c r="L93" s="209"/>
    </row>
    <row r="94" spans="1:17" ht="16.5" outlineLevel="1" thickTop="1" thickBot="1" x14ac:dyDescent="0.3">
      <c r="B94" s="561" t="s">
        <v>146</v>
      </c>
      <c r="C94" s="113">
        <f>IFERROR(C81/C20,"-")</f>
        <v>0.22664076255236476</v>
      </c>
      <c r="D94" s="113">
        <f>IFERROR(D81/D20,"-")</f>
        <v>0.22352333390735318</v>
      </c>
      <c r="E94" s="113">
        <f>IFERROR(E81/E20,"-")</f>
        <v>0.16101742082707185</v>
      </c>
      <c r="F94" s="113">
        <f>IFERROR(F81/F20,"-")</f>
        <v>0.20475921262270649</v>
      </c>
      <c r="G94" s="113">
        <f>IFERROR(G81/G20,"-")</f>
        <v>0.21237749365703198</v>
      </c>
      <c r="H94" s="209"/>
      <c r="I94" s="209"/>
      <c r="J94" s="209"/>
      <c r="K94" s="209"/>
      <c r="L94" s="209"/>
    </row>
    <row r="95" spans="1:17" ht="15.75" thickTop="1" x14ac:dyDescent="0.25"/>
    <row r="97" spans="1:2" outlineLevel="1" x14ac:dyDescent="0.25"/>
    <row r="98" spans="1:2" outlineLevel="1" x14ac:dyDescent="0.25"/>
    <row r="99" spans="1:2" outlineLevel="1" x14ac:dyDescent="0.25"/>
    <row r="100" spans="1:2" outlineLevel="1" x14ac:dyDescent="0.25"/>
    <row r="101" spans="1:2" outlineLevel="1" x14ac:dyDescent="0.25"/>
    <row r="102" spans="1:2" outlineLevel="1" x14ac:dyDescent="0.25"/>
    <row r="103" spans="1:2" outlineLevel="1" x14ac:dyDescent="0.25"/>
    <row r="104" spans="1:2" outlineLevel="1" x14ac:dyDescent="0.25"/>
    <row r="105" spans="1:2" outlineLevel="1" x14ac:dyDescent="0.25"/>
    <row r="106" spans="1:2" outlineLevel="1" x14ac:dyDescent="0.25"/>
    <row r="109" spans="1:2" outlineLevel="1" x14ac:dyDescent="0.25"/>
    <row r="110" spans="1:2" outlineLevel="1" x14ac:dyDescent="0.25"/>
    <row r="111" spans="1:2" outlineLevel="1" x14ac:dyDescent="0.25"/>
    <row r="112" spans="1:2" ht="15.75" outlineLevel="1" thickBot="1" x14ac:dyDescent="0.3">
      <c r="A112" s="31" t="s">
        <v>59</v>
      </c>
      <c r="B112" s="31" t="s">
        <v>613</v>
      </c>
    </row>
    <row r="113" spans="2:12" ht="16.5" outlineLevel="1" thickTop="1" thickBot="1" x14ac:dyDescent="0.3">
      <c r="B113" s="325" t="s">
        <v>141</v>
      </c>
      <c r="C113" s="57">
        <f>C20</f>
        <v>16471</v>
      </c>
      <c r="D113" s="57">
        <f t="shared" ref="D113:L113" si="46">D20</f>
        <v>17421</v>
      </c>
      <c r="E113" s="57">
        <f t="shared" si="46"/>
        <v>17967</v>
      </c>
      <c r="F113" s="57">
        <f t="shared" si="46"/>
        <v>19457</v>
      </c>
      <c r="G113" s="57">
        <f t="shared" si="46"/>
        <v>20101</v>
      </c>
      <c r="H113" s="57">
        <f t="shared" si="46"/>
        <v>21635.679211618288</v>
      </c>
      <c r="I113" s="57">
        <f t="shared" si="46"/>
        <v>23388.662017516963</v>
      </c>
      <c r="J113" s="57">
        <f t="shared" si="46"/>
        <v>25382.149413596042</v>
      </c>
      <c r="K113" s="57">
        <f t="shared" si="46"/>
        <v>27714.609594664202</v>
      </c>
      <c r="L113" s="57">
        <f t="shared" si="46"/>
        <v>30458.183413413622</v>
      </c>
    </row>
    <row r="114" spans="2:12" ht="16.5" outlineLevel="1" thickTop="1" thickBot="1" x14ac:dyDescent="0.3">
      <c r="B114" t="s">
        <v>614</v>
      </c>
      <c r="C114" s="558">
        <f>'Key Ratios'!C12</f>
        <v>0.60815979600509984</v>
      </c>
      <c r="D114" s="558">
        <f>'Key Ratios'!D12</f>
        <v>0.59554560587796335</v>
      </c>
      <c r="E114" s="558">
        <f>'Key Ratios'!E12</f>
        <v>0.57037902821840036</v>
      </c>
      <c r="F114" s="558">
        <f>'Key Ratios'!F12</f>
        <v>0.58210412704939096</v>
      </c>
      <c r="G114" s="558">
        <f>'Key Ratios'!G12</f>
        <v>0.60499477637928456</v>
      </c>
      <c r="H114" s="558">
        <f>'Key Ratios'!H12</f>
        <v>0.59223666670602781</v>
      </c>
      <c r="I114" s="558">
        <f>'Key Ratios'!I12</f>
        <v>0.58905204084621343</v>
      </c>
      <c r="J114" s="558">
        <f>'Key Ratios'!J12</f>
        <v>0.58775332783986356</v>
      </c>
      <c r="K114" s="558">
        <f>'Key Ratios'!K12</f>
        <v>0.59122818776415609</v>
      </c>
      <c r="L114" s="558">
        <f>'Key Ratios'!L12</f>
        <v>0.59305299990710902</v>
      </c>
    </row>
    <row r="115" spans="2:12" ht="16.5" outlineLevel="1" thickTop="1" thickBot="1" x14ac:dyDescent="0.3">
      <c r="B115" t="s">
        <v>615</v>
      </c>
      <c r="C115" s="558">
        <f>'Key Ratios'!C13</f>
        <v>0.2358691032724182</v>
      </c>
      <c r="D115" s="558">
        <f>'Key Ratios'!D13</f>
        <v>0.19126341771425293</v>
      </c>
      <c r="E115" s="558">
        <f>'Key Ratios'!E13</f>
        <v>0.16101742082707185</v>
      </c>
      <c r="F115" s="558">
        <f>'Key Ratios'!F13</f>
        <v>0.20475921262270649</v>
      </c>
      <c r="G115" s="558">
        <f>'Key Ratios'!G13</f>
        <v>0.21232774488831402</v>
      </c>
      <c r="H115" s="558">
        <f>'Key Ratios'!H13</f>
        <v>0.21562851180240655</v>
      </c>
      <c r="I115" s="558">
        <f>'Key Ratios'!I13</f>
        <v>0.21158039350840419</v>
      </c>
      <c r="J115" s="558">
        <f>'Key Ratios'!J13</f>
        <v>0.20908848185361895</v>
      </c>
      <c r="K115" s="558">
        <f>'Key Ratios'!K13</f>
        <v>0.21067686893509005</v>
      </c>
      <c r="L115" s="558">
        <f>'Key Ratios'!L13</f>
        <v>0.21186040019756669</v>
      </c>
    </row>
    <row r="116" spans="2:12" ht="16.5" outlineLevel="1" thickTop="1" thickBot="1" x14ac:dyDescent="0.3">
      <c r="B116" t="s">
        <v>616</v>
      </c>
      <c r="C116" s="558">
        <f>'Key Ratios'!C14</f>
        <v>0.16362090947726307</v>
      </c>
      <c r="D116" s="558">
        <f>'Key Ratios'!D14</f>
        <v>0.12433270191148614</v>
      </c>
      <c r="E116" s="558">
        <f>'Key Ratios'!E14</f>
        <v>9.9348806144598428E-2</v>
      </c>
      <c r="F116" s="558">
        <f>'Key Ratios'!F14</f>
        <v>0.1182093847972452</v>
      </c>
      <c r="G116" s="558">
        <f>'Key Ratios'!G14</f>
        <v>0.14372419282622756</v>
      </c>
      <c r="H116" s="558">
        <f>'Key Ratios'!H14</f>
        <v>0.14102135139787708</v>
      </c>
      <c r="I116" s="558">
        <f>'Key Ratios'!I14</f>
        <v>0.13988276846449316</v>
      </c>
      <c r="J116" s="558">
        <f>'Key Ratios'!J14</f>
        <v>0.1390034444665974</v>
      </c>
      <c r="K116" s="558">
        <f>'Key Ratios'!K14</f>
        <v>0.14031696150036002</v>
      </c>
      <c r="L116" s="558">
        <f>'Key Ratios'!L14</f>
        <v>0.14344671783153298</v>
      </c>
    </row>
    <row r="117" spans="2:12" ht="15.75" outlineLevel="1" thickTop="1" x14ac:dyDescent="0.25"/>
    <row r="118" spans="2:12" outlineLevel="1" x14ac:dyDescent="0.25"/>
    <row r="119" spans="2:12" outlineLevel="1" x14ac:dyDescent="0.25"/>
    <row r="120" spans="2:12" outlineLevel="1" x14ac:dyDescent="0.25"/>
    <row r="121" spans="2:12" outlineLevel="1" x14ac:dyDescent="0.25"/>
  </sheetData>
  <mergeCells count="2">
    <mergeCell ref="C9:G9"/>
    <mergeCell ref="H9:L9"/>
  </mergeCells>
  <pageMargins left="0.70866141732283472" right="0.70866141732283472" top="0.74803149606299213" bottom="0.74803149606299213" header="0.31496062992125984" footer="0.31496062992125984"/>
  <pageSetup scale="49" orientation="portrait" r:id="rId1"/>
  <rowBreaks count="1" manualBreakCount="1">
    <brk id="69" max="1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E0A4-4DF9-4513-853F-DF2CD46DECC7}">
  <dimension ref="A1:AM254"/>
  <sheetViews>
    <sheetView showGridLines="0" view="pageBreakPreview" zoomScale="80" zoomScaleNormal="80" zoomScaleSheetLayoutView="80" zoomScalePageLayoutView="80" workbookViewId="0">
      <selection sqref="A1:P235"/>
    </sheetView>
  </sheetViews>
  <sheetFormatPr defaultColWidth="8.85546875" defaultRowHeight="15" x14ac:dyDescent="0.25"/>
  <cols>
    <col min="1" max="1" width="3" style="96" bestFit="1" customWidth="1"/>
    <col min="2" max="14" width="12.7109375" style="96" customWidth="1"/>
    <col min="15" max="15" width="19.42578125" style="96" customWidth="1"/>
    <col min="16" max="16" width="12.7109375" style="96" customWidth="1"/>
    <col min="17" max="21" width="12.7109375" customWidth="1"/>
    <col min="22" max="24" width="8.7109375"/>
    <col min="25" max="25" width="9.28515625" customWidth="1"/>
    <col min="26" max="26" width="24.140625" customWidth="1"/>
    <col min="27" max="27" width="15.42578125" customWidth="1"/>
    <col min="28" max="28" width="14" customWidth="1"/>
    <col min="29" max="29" width="9.28515625" customWidth="1"/>
    <col min="30" max="31" width="8.85546875" customWidth="1"/>
    <col min="32" max="32" width="12.85546875" customWidth="1"/>
    <col min="33" max="33" width="12.28515625" customWidth="1"/>
    <col min="34" max="34" width="8.85546875" customWidth="1"/>
    <col min="35" max="35" width="10.140625" customWidth="1"/>
    <col min="36" max="37" width="8.85546875" customWidth="1"/>
    <col min="38" max="39" width="11.42578125" customWidth="1"/>
    <col min="40" max="43" width="8.85546875" style="96" customWidth="1"/>
    <col min="44" max="16384" width="8.85546875" style="96"/>
  </cols>
  <sheetData>
    <row r="1" spans="1:16" customFormat="1" x14ac:dyDescent="0.25"/>
    <row r="2" spans="1:16" customFormat="1" x14ac:dyDescent="0.25"/>
    <row r="3" spans="1:16" customFormat="1" x14ac:dyDescent="0.25">
      <c r="I3" s="581" t="s">
        <v>625</v>
      </c>
      <c r="J3" s="582"/>
      <c r="K3" s="582"/>
      <c r="L3" s="582"/>
    </row>
    <row r="4" spans="1:16" customFormat="1" x14ac:dyDescent="0.25">
      <c r="I4" s="581" t="s">
        <v>123</v>
      </c>
      <c r="J4" s="582"/>
      <c r="K4" s="582"/>
      <c r="L4" s="582"/>
    </row>
    <row r="5" spans="1:16" customFormat="1" x14ac:dyDescent="0.25">
      <c r="I5" s="583" t="s">
        <v>626</v>
      </c>
      <c r="J5" s="582"/>
      <c r="K5" s="582"/>
      <c r="L5" s="582"/>
    </row>
    <row r="6" spans="1:16" customFormat="1" x14ac:dyDescent="0.25">
      <c r="I6" s="583" t="s">
        <v>627</v>
      </c>
      <c r="J6" s="582"/>
      <c r="K6" s="582"/>
      <c r="L6" s="582"/>
    </row>
    <row r="7" spans="1:16" customFormat="1" x14ac:dyDescent="0.25">
      <c r="A7" s="31"/>
    </row>
    <row r="8" spans="1:16" customFormat="1" x14ac:dyDescent="0.25">
      <c r="A8" s="31"/>
    </row>
    <row r="9" spans="1:16" customFormat="1" x14ac:dyDescent="0.25">
      <c r="A9" s="31"/>
    </row>
    <row r="10" spans="1:16" customFormat="1" x14ac:dyDescent="0.25">
      <c r="M10" s="96"/>
    </row>
    <row r="11" spans="1:16" x14ac:dyDescent="0.25">
      <c r="A11" s="196"/>
      <c r="B11" s="659" t="s">
        <v>666</v>
      </c>
      <c r="C11" s="659"/>
      <c r="D11" s="659"/>
      <c r="E11" s="659"/>
      <c r="F11" s="659"/>
      <c r="G11" s="659"/>
      <c r="H11" s="659"/>
      <c r="I11" s="659"/>
      <c r="J11" s="659"/>
      <c r="K11" s="659"/>
      <c r="L11" s="659"/>
      <c r="M11" s="659"/>
      <c r="N11" s="659"/>
      <c r="O11" s="659"/>
      <c r="P11" s="659"/>
    </row>
    <row r="12" spans="1:16" x14ac:dyDescent="0.25">
      <c r="A12" s="196"/>
      <c r="B12" s="659"/>
      <c r="C12" s="659"/>
      <c r="D12" s="659"/>
      <c r="E12" s="659"/>
      <c r="F12" s="659"/>
      <c r="G12" s="659"/>
      <c r="H12" s="659"/>
      <c r="I12" s="659"/>
      <c r="J12" s="659"/>
      <c r="K12" s="659"/>
      <c r="L12" s="659"/>
      <c r="M12" s="659"/>
      <c r="N12" s="659"/>
      <c r="O12" s="659"/>
      <c r="P12" s="659"/>
    </row>
    <row r="13" spans="1:16" x14ac:dyDescent="0.25">
      <c r="A13" s="196"/>
      <c r="B13" s="659"/>
      <c r="C13" s="659"/>
      <c r="D13" s="659"/>
      <c r="E13" s="659"/>
      <c r="F13" s="659"/>
      <c r="G13" s="659"/>
      <c r="H13" s="659"/>
      <c r="I13" s="659"/>
      <c r="J13" s="659"/>
      <c r="K13" s="659"/>
      <c r="L13" s="659"/>
      <c r="M13" s="659"/>
      <c r="N13" s="659"/>
      <c r="O13" s="659"/>
      <c r="P13" s="659"/>
    </row>
    <row r="14" spans="1:16" x14ac:dyDescent="0.25">
      <c r="A14" s="196"/>
      <c r="B14" s="659"/>
      <c r="C14" s="659"/>
      <c r="D14" s="659"/>
      <c r="E14" s="659"/>
      <c r="F14" s="659"/>
      <c r="G14" s="659"/>
      <c r="H14" s="659"/>
      <c r="I14" s="659"/>
      <c r="J14" s="659"/>
      <c r="K14" s="659"/>
      <c r="L14" s="659"/>
      <c r="M14" s="659"/>
      <c r="N14" s="659"/>
      <c r="O14" s="659"/>
      <c r="P14" s="659"/>
    </row>
    <row r="15" spans="1:16" x14ac:dyDescent="0.25">
      <c r="A15" s="196"/>
      <c r="B15" s="659"/>
      <c r="C15" s="659"/>
      <c r="D15" s="659"/>
      <c r="E15" s="659"/>
      <c r="F15" s="659"/>
      <c r="G15" s="659"/>
      <c r="H15" s="659"/>
      <c r="I15" s="659"/>
      <c r="J15" s="659"/>
      <c r="K15" s="659"/>
      <c r="L15" s="659"/>
      <c r="M15" s="659"/>
      <c r="N15" s="659"/>
      <c r="O15" s="659"/>
      <c r="P15" s="659"/>
    </row>
    <row r="16" spans="1:16" x14ac:dyDescent="0.25">
      <c r="A16" s="196"/>
      <c r="B16" s="659"/>
      <c r="C16" s="659"/>
      <c r="D16" s="659"/>
      <c r="E16" s="659"/>
      <c r="F16" s="659"/>
      <c r="G16" s="659"/>
      <c r="H16" s="659"/>
      <c r="I16" s="659"/>
      <c r="J16" s="659"/>
      <c r="K16" s="659"/>
      <c r="L16" s="659"/>
      <c r="M16" s="659"/>
      <c r="N16" s="659"/>
      <c r="O16" s="659"/>
      <c r="P16" s="659"/>
    </row>
    <row r="17" spans="1:16" x14ac:dyDescent="0.25">
      <c r="A17" s="196"/>
      <c r="B17" s="659"/>
      <c r="C17" s="659"/>
      <c r="D17" s="659"/>
      <c r="E17" s="659"/>
      <c r="F17" s="659"/>
      <c r="G17" s="659"/>
      <c r="H17" s="659"/>
      <c r="I17" s="659"/>
      <c r="J17" s="659"/>
      <c r="K17" s="659"/>
      <c r="L17" s="659"/>
      <c r="M17" s="659"/>
      <c r="N17" s="659"/>
      <c r="O17" s="659"/>
      <c r="P17" s="659"/>
    </row>
    <row r="18" spans="1:16" x14ac:dyDescent="0.25">
      <c r="A18" s="196"/>
      <c r="B18" s="659"/>
      <c r="C18" s="659"/>
      <c r="D18" s="659"/>
      <c r="E18" s="659"/>
      <c r="F18" s="659"/>
      <c r="G18" s="659"/>
      <c r="H18" s="659"/>
      <c r="I18" s="659"/>
      <c r="J18" s="659"/>
      <c r="K18" s="659"/>
      <c r="L18" s="659"/>
      <c r="M18" s="659"/>
      <c r="N18" s="659"/>
      <c r="O18" s="659"/>
      <c r="P18" s="659"/>
    </row>
    <row r="19" spans="1:16" x14ac:dyDescent="0.25">
      <c r="A19" s="196"/>
      <c r="B19" s="659"/>
      <c r="C19" s="659"/>
      <c r="D19" s="659"/>
      <c r="E19" s="659"/>
      <c r="F19" s="659"/>
      <c r="G19" s="659"/>
      <c r="H19" s="659"/>
      <c r="I19" s="659"/>
      <c r="J19" s="659"/>
      <c r="K19" s="659"/>
      <c r="L19" s="659"/>
      <c r="M19" s="659"/>
      <c r="N19" s="659"/>
      <c r="O19" s="659"/>
      <c r="P19" s="659"/>
    </row>
    <row r="20" spans="1:16" x14ac:dyDescent="0.25">
      <c r="A20" s="196"/>
      <c r="B20" s="659"/>
      <c r="C20" s="659"/>
      <c r="D20" s="659"/>
      <c r="E20" s="659"/>
      <c r="F20" s="659"/>
      <c r="G20" s="659"/>
      <c r="H20" s="659"/>
      <c r="I20" s="659"/>
      <c r="J20" s="659"/>
      <c r="K20" s="659"/>
      <c r="L20" s="659"/>
      <c r="M20" s="659"/>
      <c r="N20" s="659"/>
      <c r="O20" s="659"/>
      <c r="P20" s="659"/>
    </row>
    <row r="21" spans="1:16" x14ac:dyDescent="0.25">
      <c r="A21" s="196"/>
      <c r="B21" s="659"/>
      <c r="C21" s="659"/>
      <c r="D21" s="659"/>
      <c r="E21" s="659"/>
      <c r="F21" s="659"/>
      <c r="G21" s="659"/>
      <c r="H21" s="659"/>
      <c r="I21" s="659"/>
      <c r="J21" s="659"/>
      <c r="K21" s="659"/>
      <c r="L21" s="659"/>
      <c r="M21" s="659"/>
      <c r="N21" s="659"/>
      <c r="O21" s="659"/>
      <c r="P21" s="659"/>
    </row>
    <row r="22" spans="1:16" x14ac:dyDescent="0.25">
      <c r="A22" s="196"/>
      <c r="B22" s="659"/>
      <c r="C22" s="659"/>
      <c r="D22" s="659"/>
      <c r="E22" s="659"/>
      <c r="F22" s="659"/>
      <c r="G22" s="659"/>
      <c r="H22" s="659"/>
      <c r="I22" s="659"/>
      <c r="J22" s="659"/>
      <c r="K22" s="659"/>
      <c r="L22" s="659"/>
      <c r="M22" s="659"/>
      <c r="N22" s="659"/>
      <c r="O22" s="659"/>
      <c r="P22" s="659"/>
    </row>
    <row r="23" spans="1:16" x14ac:dyDescent="0.25">
      <c r="A23" s="196"/>
      <c r="B23" s="659"/>
      <c r="C23" s="659"/>
      <c r="D23" s="659"/>
      <c r="E23" s="659"/>
      <c r="F23" s="659"/>
      <c r="G23" s="659"/>
      <c r="H23" s="659"/>
      <c r="I23" s="659"/>
      <c r="J23" s="659"/>
      <c r="K23" s="659"/>
      <c r="L23" s="659"/>
      <c r="M23" s="659"/>
      <c r="N23" s="659"/>
      <c r="O23" s="659"/>
      <c r="P23" s="659"/>
    </row>
    <row r="24" spans="1:16" x14ac:dyDescent="0.25">
      <c r="A24" s="196"/>
      <c r="B24" s="659"/>
      <c r="C24" s="659"/>
      <c r="D24" s="659"/>
      <c r="E24" s="659"/>
      <c r="F24" s="659"/>
      <c r="G24" s="659"/>
      <c r="H24" s="659"/>
      <c r="I24" s="659"/>
      <c r="J24" s="659"/>
      <c r="K24" s="659"/>
      <c r="L24" s="659"/>
      <c r="M24" s="659"/>
      <c r="N24" s="659"/>
      <c r="O24" s="659"/>
      <c r="P24" s="659"/>
    </row>
    <row r="25" spans="1:16" x14ac:dyDescent="0.25">
      <c r="A25" s="196"/>
      <c r="B25" s="659"/>
      <c r="C25" s="659"/>
      <c r="D25" s="659"/>
      <c r="E25" s="659"/>
      <c r="F25" s="659"/>
      <c r="G25" s="659"/>
      <c r="H25" s="659"/>
      <c r="I25" s="659"/>
      <c r="J25" s="659"/>
      <c r="K25" s="659"/>
      <c r="L25" s="659"/>
      <c r="M25" s="659"/>
      <c r="N25" s="659"/>
      <c r="O25" s="659"/>
      <c r="P25" s="659"/>
    </row>
    <row r="26" spans="1:16" x14ac:dyDescent="0.25">
      <c r="A26" s="196"/>
      <c r="B26" s="659"/>
      <c r="C26" s="659"/>
      <c r="D26" s="659"/>
      <c r="E26" s="659"/>
      <c r="F26" s="659"/>
      <c r="G26" s="659"/>
      <c r="H26" s="659"/>
      <c r="I26" s="659"/>
      <c r="J26" s="659"/>
      <c r="K26" s="659"/>
      <c r="L26" s="659"/>
      <c r="M26" s="659"/>
      <c r="N26" s="659"/>
      <c r="O26" s="659"/>
      <c r="P26" s="659"/>
    </row>
    <row r="27" spans="1:16" ht="15.75" x14ac:dyDescent="0.25">
      <c r="A27" s="196"/>
      <c r="B27" s="584"/>
      <c r="C27" s="584"/>
      <c r="D27" s="584"/>
      <c r="E27" s="584"/>
      <c r="F27" s="584"/>
      <c r="G27" s="584"/>
      <c r="H27" s="584"/>
      <c r="I27" s="584"/>
      <c r="J27" s="584"/>
      <c r="K27" s="584"/>
      <c r="L27" s="584"/>
      <c r="M27" s="584"/>
      <c r="N27" s="584"/>
      <c r="O27" s="584"/>
      <c r="P27" s="584"/>
    </row>
    <row r="28" spans="1:16" ht="15.75" x14ac:dyDescent="0.25">
      <c r="A28" s="196"/>
      <c r="B28" s="585"/>
      <c r="C28" s="585"/>
      <c r="D28" s="585"/>
      <c r="E28" s="585"/>
      <c r="F28" s="585"/>
      <c r="G28" s="585"/>
      <c r="H28" s="585"/>
      <c r="I28" s="585"/>
      <c r="J28" s="585"/>
      <c r="K28" s="585"/>
      <c r="L28" s="585"/>
      <c r="M28" s="585"/>
      <c r="N28" s="585"/>
      <c r="O28" s="585"/>
      <c r="P28" s="585"/>
    </row>
    <row r="29" spans="1:16" ht="15.75" x14ac:dyDescent="0.25">
      <c r="A29" s="196"/>
      <c r="B29" s="585"/>
      <c r="C29" s="585"/>
      <c r="D29" s="585"/>
      <c r="E29" s="585"/>
      <c r="F29" s="585"/>
      <c r="G29" s="585"/>
      <c r="H29" s="585"/>
      <c r="I29" s="585"/>
      <c r="J29" s="585"/>
      <c r="K29" s="585"/>
      <c r="L29" s="585"/>
      <c r="M29" s="585"/>
      <c r="N29" s="585"/>
      <c r="O29" s="585"/>
      <c r="P29" s="585"/>
    </row>
    <row r="30" spans="1:16" ht="15.75" x14ac:dyDescent="0.25">
      <c r="A30" s="196"/>
      <c r="B30" s="585"/>
      <c r="C30" s="585"/>
      <c r="D30" s="585"/>
      <c r="E30" s="585"/>
      <c r="F30" s="585"/>
      <c r="G30" s="585"/>
      <c r="H30" s="585"/>
      <c r="I30" s="585"/>
      <c r="J30" s="585"/>
      <c r="K30" s="585"/>
      <c r="L30" s="585"/>
      <c r="M30" s="585"/>
      <c r="N30" s="585"/>
      <c r="O30" s="585"/>
      <c r="P30" s="585"/>
    </row>
    <row r="31" spans="1:16" ht="15.75" x14ac:dyDescent="0.25">
      <c r="A31" s="196"/>
      <c r="B31" s="585"/>
      <c r="C31" s="585"/>
      <c r="D31" s="585"/>
      <c r="E31" s="585"/>
      <c r="F31" s="585"/>
      <c r="G31" s="585"/>
      <c r="H31" s="585"/>
      <c r="I31" s="585"/>
      <c r="J31" s="585"/>
      <c r="K31" s="585"/>
      <c r="L31" s="585"/>
      <c r="M31" s="585"/>
      <c r="N31" s="585"/>
      <c r="O31" s="585"/>
      <c r="P31" s="585"/>
    </row>
    <row r="32" spans="1:16" ht="15.75" x14ac:dyDescent="0.25">
      <c r="A32" s="196"/>
      <c r="B32" s="585"/>
      <c r="C32" s="585"/>
      <c r="D32" s="585"/>
      <c r="E32" s="585"/>
      <c r="F32" s="585"/>
      <c r="G32" s="585"/>
      <c r="H32" s="585"/>
      <c r="I32" s="585"/>
      <c r="J32" s="585"/>
      <c r="K32" s="585"/>
      <c r="L32" s="585"/>
      <c r="M32" s="585"/>
      <c r="N32" s="585"/>
      <c r="O32" s="585"/>
      <c r="P32" s="585"/>
    </row>
    <row r="33" spans="1:16" ht="15.75" x14ac:dyDescent="0.25">
      <c r="A33" s="196"/>
      <c r="B33" s="585"/>
      <c r="C33" s="585"/>
      <c r="D33" s="585"/>
      <c r="E33" s="585"/>
      <c r="F33" s="585"/>
      <c r="G33" s="585"/>
      <c r="H33" s="585"/>
      <c r="I33" s="585"/>
      <c r="J33" s="585"/>
      <c r="K33" s="585"/>
      <c r="L33" s="585"/>
      <c r="M33" s="585"/>
      <c r="N33" s="585"/>
      <c r="O33" s="585"/>
      <c r="P33" s="585"/>
    </row>
    <row r="34" spans="1:16" ht="15.75" x14ac:dyDescent="0.25">
      <c r="A34" s="196"/>
      <c r="B34" s="585"/>
      <c r="C34" s="585"/>
      <c r="D34" s="585"/>
      <c r="E34" s="585"/>
      <c r="F34" s="585"/>
      <c r="G34" s="585"/>
      <c r="H34" s="585"/>
      <c r="I34" s="585"/>
      <c r="J34" s="585"/>
      <c r="K34" s="585"/>
      <c r="L34" s="585"/>
      <c r="M34" s="585"/>
      <c r="N34" s="585"/>
      <c r="O34" s="585"/>
      <c r="P34" s="585"/>
    </row>
    <row r="35" spans="1:16" ht="15.75" x14ac:dyDescent="0.25">
      <c r="A35" s="196"/>
      <c r="B35" s="585"/>
      <c r="C35" s="585"/>
      <c r="D35" s="585"/>
      <c r="E35" s="585"/>
      <c r="F35" s="585"/>
      <c r="G35" s="585"/>
      <c r="H35" s="585"/>
      <c r="I35" s="585"/>
      <c r="J35" s="585"/>
      <c r="K35" s="585"/>
      <c r="L35" s="585"/>
      <c r="M35" s="585"/>
      <c r="N35" s="585"/>
      <c r="O35" s="585"/>
      <c r="P35" s="585"/>
    </row>
    <row r="36" spans="1:16" ht="15.75" x14ac:dyDescent="0.25">
      <c r="A36" s="196"/>
      <c r="B36" s="585"/>
      <c r="C36" s="585"/>
      <c r="D36" s="585"/>
      <c r="E36" s="585"/>
      <c r="F36" s="585"/>
      <c r="G36" s="585"/>
      <c r="H36" s="585"/>
      <c r="I36" s="585"/>
      <c r="J36" s="585"/>
      <c r="K36" s="585"/>
      <c r="L36" s="585"/>
      <c r="M36" s="585"/>
      <c r="N36" s="585"/>
      <c r="O36" s="585"/>
      <c r="P36" s="585"/>
    </row>
    <row r="37" spans="1:16" ht="15.75" x14ac:dyDescent="0.25">
      <c r="A37" s="196"/>
      <c r="B37" s="585"/>
      <c r="C37" s="585"/>
      <c r="D37" s="585"/>
      <c r="E37" s="585"/>
      <c r="F37" s="585"/>
      <c r="G37" s="585"/>
      <c r="H37" s="585"/>
      <c r="I37" s="585"/>
      <c r="J37" s="585"/>
      <c r="K37" s="585"/>
      <c r="L37" s="585"/>
      <c r="M37" s="585"/>
      <c r="N37" s="585"/>
      <c r="O37" s="585"/>
      <c r="P37" s="585"/>
    </row>
    <row r="38" spans="1:16" ht="15.75" x14ac:dyDescent="0.25">
      <c r="A38" s="196"/>
      <c r="B38" s="585"/>
      <c r="C38" s="585"/>
      <c r="D38" s="585"/>
      <c r="E38" s="585"/>
      <c r="F38" s="585"/>
      <c r="G38" s="585"/>
      <c r="H38" s="585"/>
      <c r="I38" s="585"/>
      <c r="J38" s="585"/>
      <c r="K38" s="585"/>
      <c r="L38" s="585"/>
      <c r="M38" s="585"/>
      <c r="N38" s="585"/>
      <c r="O38" s="585"/>
      <c r="P38" s="585"/>
    </row>
    <row r="39" spans="1:16" ht="15.75" x14ac:dyDescent="0.25">
      <c r="A39" s="196"/>
      <c r="B39" s="585"/>
      <c r="C39" s="585"/>
      <c r="D39" s="585"/>
      <c r="E39" s="585"/>
      <c r="F39" s="585"/>
      <c r="G39" s="585"/>
      <c r="H39" s="585"/>
      <c r="I39" s="585"/>
      <c r="J39" s="585"/>
      <c r="K39" s="585"/>
      <c r="L39" s="585"/>
      <c r="M39" s="585"/>
      <c r="N39" s="585"/>
      <c r="O39" s="585"/>
      <c r="P39" s="585"/>
    </row>
    <row r="40" spans="1:16" ht="15.75" x14ac:dyDescent="0.25">
      <c r="A40" s="196"/>
      <c r="B40" s="585"/>
      <c r="C40" s="585"/>
      <c r="D40" s="585"/>
      <c r="E40" s="585"/>
      <c r="F40" s="585"/>
      <c r="G40" s="585"/>
      <c r="H40" s="585"/>
      <c r="I40" s="585"/>
      <c r="J40" s="585"/>
      <c r="K40" s="585"/>
      <c r="L40" s="585"/>
      <c r="M40" s="585"/>
      <c r="N40" s="585"/>
      <c r="O40" s="585"/>
      <c r="P40" s="585"/>
    </row>
    <row r="41" spans="1:16" ht="15.75" x14ac:dyDescent="0.25">
      <c r="A41" s="196"/>
      <c r="B41" s="585"/>
      <c r="C41" s="585"/>
      <c r="D41" s="585"/>
      <c r="E41" s="585"/>
      <c r="F41" s="585"/>
      <c r="G41" s="585"/>
      <c r="H41" s="585"/>
      <c r="I41" s="585"/>
      <c r="J41" s="585"/>
      <c r="K41" s="585"/>
      <c r="L41" s="585"/>
      <c r="M41" s="585"/>
      <c r="N41" s="585"/>
      <c r="O41" s="585"/>
      <c r="P41" s="585"/>
    </row>
    <row r="42" spans="1:16" ht="15.75" x14ac:dyDescent="0.25">
      <c r="A42" s="196"/>
      <c r="B42" s="585"/>
      <c r="C42" s="585"/>
      <c r="D42" s="585"/>
      <c r="E42" s="585"/>
      <c r="F42" s="585"/>
      <c r="G42" s="585"/>
      <c r="H42" s="585"/>
      <c r="I42" s="585"/>
      <c r="J42" s="585"/>
      <c r="K42" s="585"/>
      <c r="L42" s="585"/>
      <c r="M42" s="585"/>
      <c r="N42" s="585"/>
      <c r="O42" s="585"/>
      <c r="P42" s="585"/>
    </row>
    <row r="43" spans="1:16" ht="15.75" x14ac:dyDescent="0.25">
      <c r="A43" s="196"/>
      <c r="B43" s="585"/>
      <c r="C43" s="585"/>
      <c r="D43" s="585"/>
      <c r="E43" s="585"/>
      <c r="F43" s="585"/>
      <c r="G43" s="585"/>
      <c r="H43" s="585"/>
      <c r="I43" s="585"/>
      <c r="J43" s="585"/>
      <c r="K43" s="585"/>
      <c r="L43" s="585"/>
      <c r="M43" s="585"/>
      <c r="N43" s="585"/>
      <c r="O43" s="585"/>
      <c r="P43" s="585"/>
    </row>
    <row r="44" spans="1:16" ht="15.75" x14ac:dyDescent="0.25">
      <c r="A44" s="196"/>
      <c r="B44" s="585"/>
      <c r="C44" s="585"/>
      <c r="D44" s="585"/>
      <c r="E44" s="585"/>
      <c r="F44" s="585"/>
      <c r="G44" s="585"/>
      <c r="H44" s="585"/>
      <c r="I44" s="585"/>
      <c r="J44" s="585"/>
      <c r="K44" s="585"/>
      <c r="L44" s="585"/>
      <c r="M44" s="585"/>
      <c r="N44" s="585"/>
      <c r="O44" s="585"/>
      <c r="P44" s="585"/>
    </row>
    <row r="45" spans="1:16" ht="15.75" x14ac:dyDescent="0.25">
      <c r="A45" s="196"/>
      <c r="B45" s="585"/>
      <c r="C45" s="585"/>
      <c r="D45" s="585"/>
      <c r="E45" s="585"/>
      <c r="F45" s="585"/>
      <c r="G45" s="585"/>
      <c r="H45" s="585"/>
      <c r="I45" s="585"/>
      <c r="J45" s="585"/>
      <c r="K45" s="585"/>
      <c r="L45" s="585"/>
      <c r="M45" s="585"/>
      <c r="N45" s="585"/>
      <c r="O45" s="585"/>
      <c r="P45" s="585"/>
    </row>
    <row r="46" spans="1:16" ht="15.75" x14ac:dyDescent="0.25">
      <c r="A46" s="196"/>
      <c r="B46" s="585"/>
      <c r="C46" s="585"/>
      <c r="D46" s="585"/>
      <c r="E46" s="585"/>
      <c r="F46" s="585"/>
      <c r="G46" s="585"/>
      <c r="H46" s="585"/>
      <c r="I46" s="585"/>
      <c r="J46" s="585"/>
      <c r="K46" s="585"/>
      <c r="L46" s="585"/>
      <c r="M46" s="585"/>
      <c r="N46" s="585"/>
      <c r="O46" s="585"/>
      <c r="P46" s="585"/>
    </row>
    <row r="47" spans="1:16" ht="15.75" x14ac:dyDescent="0.25">
      <c r="A47" s="196"/>
      <c r="B47" s="585"/>
      <c r="C47" s="585"/>
      <c r="D47" s="585"/>
      <c r="E47" s="585"/>
      <c r="F47" s="585"/>
      <c r="G47" s="585"/>
      <c r="H47" s="585"/>
      <c r="I47" s="585"/>
      <c r="J47" s="585"/>
      <c r="K47" s="585"/>
      <c r="L47" s="585"/>
      <c r="M47" s="585"/>
      <c r="N47" s="585"/>
      <c r="O47" s="585"/>
      <c r="P47" s="585"/>
    </row>
    <row r="48" spans="1:16" ht="15.75" x14ac:dyDescent="0.25">
      <c r="A48" s="196"/>
      <c r="B48" s="585"/>
      <c r="C48" s="585"/>
      <c r="D48" s="585"/>
      <c r="E48" s="585"/>
      <c r="F48" s="585"/>
      <c r="G48" s="585"/>
      <c r="H48" s="585"/>
      <c r="I48" s="585"/>
      <c r="J48" s="585"/>
      <c r="K48" s="585"/>
      <c r="L48" s="585"/>
      <c r="M48" s="585"/>
      <c r="N48" s="585"/>
      <c r="O48" s="585"/>
      <c r="P48" s="585"/>
    </row>
    <row r="49" spans="1:16" ht="15.75" x14ac:dyDescent="0.25">
      <c r="A49" s="196"/>
      <c r="B49" s="585"/>
      <c r="C49" s="585"/>
      <c r="D49" s="585"/>
      <c r="E49" s="585"/>
      <c r="F49" s="585"/>
      <c r="G49" s="585"/>
      <c r="H49" s="585"/>
      <c r="I49" s="585"/>
      <c r="J49" s="585"/>
      <c r="K49" s="585"/>
      <c r="L49" s="585"/>
      <c r="M49" s="585"/>
      <c r="N49" s="585"/>
      <c r="O49" s="585"/>
      <c r="P49" s="585"/>
    </row>
    <row r="50" spans="1:16" ht="15.75" x14ac:dyDescent="0.25">
      <c r="A50" s="196"/>
      <c r="B50" s="585"/>
      <c r="C50" s="585"/>
      <c r="D50" s="585"/>
      <c r="E50" s="585"/>
      <c r="F50" s="585"/>
      <c r="G50" s="585"/>
      <c r="H50" s="585"/>
      <c r="I50" s="585"/>
      <c r="J50" s="585"/>
      <c r="K50" s="585"/>
      <c r="L50" s="585"/>
      <c r="M50" s="585"/>
      <c r="N50" s="585"/>
      <c r="O50" s="585"/>
      <c r="P50" s="585"/>
    </row>
    <row r="51" spans="1:16" ht="15.75" x14ac:dyDescent="0.25">
      <c r="A51" s="196"/>
      <c r="B51" s="585"/>
      <c r="C51" s="585"/>
      <c r="D51" s="585"/>
      <c r="E51" s="585"/>
      <c r="F51" s="585"/>
      <c r="G51" s="585"/>
      <c r="H51" s="585"/>
      <c r="I51" s="585"/>
      <c r="J51" s="585"/>
      <c r="K51" s="585"/>
      <c r="L51" s="585"/>
      <c r="M51" s="585"/>
      <c r="N51" s="585"/>
      <c r="O51" s="585"/>
      <c r="P51" s="585"/>
    </row>
    <row r="52" spans="1:16" ht="15.75" x14ac:dyDescent="0.25">
      <c r="A52" s="196"/>
      <c r="B52" s="585"/>
      <c r="C52" s="585"/>
      <c r="D52" s="585"/>
      <c r="E52" s="585"/>
      <c r="F52" s="585"/>
      <c r="G52" s="585"/>
      <c r="H52" s="585"/>
      <c r="I52" s="585"/>
      <c r="J52" s="585"/>
      <c r="K52" s="585"/>
      <c r="L52" s="585"/>
      <c r="M52" s="585"/>
      <c r="N52" s="585"/>
      <c r="O52" s="585"/>
      <c r="P52" s="585"/>
    </row>
    <row r="53" spans="1:16" ht="15.75" x14ac:dyDescent="0.25">
      <c r="A53" s="196"/>
      <c r="B53" s="585"/>
      <c r="C53" s="585"/>
      <c r="D53" s="585"/>
      <c r="E53" s="585"/>
      <c r="F53" s="585"/>
      <c r="G53" s="585"/>
      <c r="H53" s="585"/>
      <c r="I53" s="585"/>
      <c r="J53" s="585"/>
      <c r="K53" s="585"/>
      <c r="L53" s="585"/>
      <c r="M53" s="585"/>
      <c r="N53" s="585"/>
      <c r="O53" s="585"/>
      <c r="P53" s="585"/>
    </row>
    <row r="54" spans="1:16" ht="15.75" x14ac:dyDescent="0.25">
      <c r="A54" s="196"/>
      <c r="B54" s="585"/>
      <c r="C54" s="585"/>
      <c r="D54" s="585"/>
      <c r="E54" s="585"/>
      <c r="F54" s="585"/>
      <c r="G54" s="585"/>
      <c r="H54" s="585"/>
      <c r="I54" s="585"/>
      <c r="J54" s="585"/>
      <c r="K54" s="585"/>
      <c r="L54" s="585"/>
      <c r="M54" s="585"/>
      <c r="N54" s="585"/>
      <c r="O54" s="585"/>
      <c r="P54" s="585"/>
    </row>
    <row r="55" spans="1:16" ht="15.75" x14ac:dyDescent="0.25">
      <c r="A55" s="196"/>
      <c r="B55" s="585"/>
      <c r="C55" s="585"/>
      <c r="D55" s="585"/>
      <c r="E55" s="585"/>
      <c r="F55" s="585"/>
      <c r="G55" s="585"/>
      <c r="H55" s="585"/>
      <c r="I55" s="585"/>
      <c r="J55" s="585"/>
      <c r="K55" s="585"/>
      <c r="L55" s="585"/>
      <c r="M55" s="585"/>
      <c r="N55" s="585"/>
      <c r="O55" s="585"/>
      <c r="P55" s="585"/>
    </row>
    <row r="56" spans="1:16" ht="15.75" x14ac:dyDescent="0.25">
      <c r="A56" s="196"/>
      <c r="B56" s="585"/>
      <c r="C56" s="585"/>
      <c r="D56" s="585"/>
      <c r="E56" s="585"/>
      <c r="F56" s="585"/>
      <c r="G56" s="585"/>
      <c r="H56" s="585"/>
      <c r="I56" s="585"/>
      <c r="J56" s="585"/>
      <c r="K56" s="585"/>
      <c r="L56" s="585"/>
      <c r="M56" s="585"/>
      <c r="N56" s="585"/>
      <c r="O56" s="585"/>
      <c r="P56" s="585"/>
    </row>
    <row r="57" spans="1:16" ht="15.75" x14ac:dyDescent="0.25">
      <c r="A57" s="196"/>
      <c r="B57" s="585"/>
      <c r="C57" s="585"/>
      <c r="D57" s="585"/>
      <c r="E57" s="585"/>
      <c r="F57" s="585"/>
      <c r="G57" s="585"/>
      <c r="H57" s="585"/>
      <c r="I57" s="585"/>
      <c r="J57" s="585"/>
      <c r="K57" s="585"/>
      <c r="L57" s="585"/>
      <c r="M57" s="585"/>
      <c r="N57" s="585"/>
      <c r="O57" s="585"/>
      <c r="P57" s="585"/>
    </row>
    <row r="58" spans="1:16" ht="15.75" x14ac:dyDescent="0.25">
      <c r="A58" s="196"/>
      <c r="B58" s="585"/>
      <c r="C58" s="585"/>
      <c r="D58" s="585"/>
      <c r="E58" s="585"/>
      <c r="F58" s="585"/>
      <c r="G58" s="585"/>
      <c r="H58" s="585"/>
      <c r="I58" s="585"/>
      <c r="J58" s="585"/>
      <c r="K58" s="585"/>
      <c r="L58" s="585"/>
      <c r="M58" s="585"/>
      <c r="N58" s="585"/>
      <c r="O58" s="585"/>
      <c r="P58" s="585"/>
    </row>
    <row r="59" spans="1:16" ht="15.75" x14ac:dyDescent="0.25">
      <c r="A59" s="196"/>
      <c r="B59" s="585"/>
      <c r="C59" s="585"/>
      <c r="D59" s="585"/>
      <c r="E59" s="585"/>
      <c r="F59" s="585"/>
      <c r="G59" s="585"/>
      <c r="H59" s="585"/>
      <c r="I59" s="585"/>
      <c r="J59" s="585"/>
      <c r="K59" s="585"/>
      <c r="L59" s="585"/>
      <c r="M59" s="585"/>
      <c r="N59" s="585"/>
      <c r="O59" s="585"/>
      <c r="P59" s="585"/>
    </row>
    <row r="60" spans="1:16" ht="15.75" x14ac:dyDescent="0.25">
      <c r="A60" s="196"/>
      <c r="B60" s="585"/>
      <c r="C60" s="585"/>
      <c r="D60" s="585"/>
      <c r="E60" s="585"/>
      <c r="F60" s="585"/>
      <c r="G60" s="585"/>
      <c r="H60" s="585"/>
      <c r="I60" s="585"/>
      <c r="J60" s="585"/>
      <c r="K60" s="585"/>
      <c r="L60" s="585"/>
      <c r="M60" s="585"/>
      <c r="N60" s="585"/>
      <c r="O60" s="585"/>
      <c r="P60" s="585"/>
    </row>
    <row r="61" spans="1:16" ht="15.75" x14ac:dyDescent="0.25">
      <c r="A61" s="196"/>
      <c r="B61" s="585"/>
      <c r="C61" s="585"/>
      <c r="D61" s="585"/>
      <c r="E61" s="585"/>
      <c r="F61" s="585"/>
      <c r="G61" s="585"/>
      <c r="H61" s="585"/>
      <c r="I61" s="585"/>
      <c r="J61" s="585"/>
      <c r="K61" s="585"/>
      <c r="L61" s="585"/>
      <c r="M61" s="585"/>
      <c r="N61" s="585"/>
      <c r="O61" s="585"/>
      <c r="P61" s="585"/>
    </row>
    <row r="62" spans="1:16" ht="15.75" x14ac:dyDescent="0.25">
      <c r="A62" s="196"/>
      <c r="B62" s="585"/>
      <c r="C62" s="585"/>
      <c r="D62" s="585"/>
      <c r="E62" s="585"/>
      <c r="F62" s="585"/>
      <c r="G62" s="585"/>
      <c r="H62" s="585"/>
      <c r="I62" s="585"/>
      <c r="J62" s="585"/>
      <c r="K62" s="585"/>
      <c r="L62" s="585"/>
      <c r="M62" s="585"/>
      <c r="N62" s="585"/>
      <c r="O62" s="585"/>
      <c r="P62" s="585"/>
    </row>
    <row r="63" spans="1:16" ht="15.75" x14ac:dyDescent="0.25">
      <c r="A63" s="196"/>
      <c r="B63" s="585"/>
      <c r="C63" s="585"/>
      <c r="D63" s="585"/>
      <c r="E63" s="585"/>
      <c r="F63" s="585"/>
      <c r="G63" s="585"/>
      <c r="H63" s="585"/>
      <c r="I63" s="585"/>
      <c r="J63" s="585"/>
      <c r="K63" s="585"/>
      <c r="L63" s="585"/>
      <c r="M63" s="585"/>
      <c r="N63" s="585"/>
      <c r="O63" s="585"/>
      <c r="P63" s="585"/>
    </row>
    <row r="64" spans="1:16" ht="15.75" x14ac:dyDescent="0.25">
      <c r="A64" s="196"/>
      <c r="B64" s="585"/>
      <c r="C64" s="585"/>
      <c r="D64" s="585"/>
      <c r="E64" s="585"/>
      <c r="F64" s="585"/>
      <c r="G64" s="585"/>
      <c r="H64" s="585"/>
      <c r="I64" s="585"/>
      <c r="J64" s="585"/>
      <c r="K64" s="585"/>
      <c r="L64" s="585"/>
      <c r="M64" s="585"/>
      <c r="N64" s="585"/>
      <c r="O64" s="585"/>
      <c r="P64" s="585"/>
    </row>
    <row r="65" spans="1:16" ht="15.75" x14ac:dyDescent="0.25">
      <c r="A65" s="196"/>
      <c r="B65" s="585"/>
      <c r="C65" s="585"/>
      <c r="D65" s="585"/>
      <c r="E65" s="585"/>
      <c r="F65" s="585"/>
      <c r="G65" s="585"/>
      <c r="H65" s="585"/>
      <c r="I65" s="585"/>
      <c r="J65" s="585"/>
      <c r="K65" s="585"/>
      <c r="L65" s="585"/>
      <c r="M65" s="585"/>
      <c r="N65" s="585"/>
      <c r="O65" s="585"/>
      <c r="P65" s="585"/>
    </row>
    <row r="66" spans="1:16" ht="15.75" x14ac:dyDescent="0.25">
      <c r="A66" s="196"/>
      <c r="B66" s="585"/>
      <c r="C66" s="585"/>
      <c r="D66" s="585"/>
      <c r="E66" s="585"/>
      <c r="F66" s="585"/>
      <c r="G66" s="585"/>
      <c r="H66" s="585"/>
      <c r="I66" s="585"/>
      <c r="J66" s="585"/>
      <c r="K66" s="585"/>
      <c r="L66" s="585"/>
      <c r="M66" s="585"/>
      <c r="N66" s="585"/>
      <c r="O66" s="585"/>
      <c r="P66" s="585"/>
    </row>
    <row r="67" spans="1:16" ht="15.75" x14ac:dyDescent="0.25">
      <c r="A67" s="196"/>
      <c r="B67" s="585"/>
      <c r="C67" s="585"/>
      <c r="D67" s="585"/>
      <c r="E67" s="585"/>
      <c r="F67" s="585"/>
      <c r="G67" s="585"/>
      <c r="H67" s="585"/>
      <c r="I67" s="585"/>
      <c r="J67" s="585"/>
      <c r="K67" s="585"/>
      <c r="L67" s="585"/>
      <c r="M67" s="585"/>
      <c r="N67" s="585"/>
      <c r="O67" s="585"/>
      <c r="P67" s="585"/>
    </row>
    <row r="68" spans="1:16" ht="15.75" x14ac:dyDescent="0.25">
      <c r="A68" s="196"/>
      <c r="B68" s="585"/>
      <c r="C68" s="585"/>
      <c r="D68" s="585"/>
      <c r="E68" s="585"/>
      <c r="F68" s="585"/>
      <c r="G68" s="585"/>
      <c r="H68" s="585"/>
      <c r="I68" s="585"/>
      <c r="J68" s="585"/>
      <c r="K68" s="585"/>
      <c r="L68" s="585"/>
      <c r="M68" s="585"/>
      <c r="N68" s="585"/>
      <c r="O68" s="585"/>
      <c r="P68" s="585"/>
    </row>
    <row r="69" spans="1:16" ht="15.75" x14ac:dyDescent="0.25">
      <c r="A69" s="196"/>
      <c r="B69" s="585"/>
      <c r="C69" s="585"/>
      <c r="D69" s="585"/>
      <c r="E69" s="585"/>
      <c r="F69" s="585"/>
      <c r="G69" s="585"/>
      <c r="H69" s="585"/>
      <c r="I69" s="585"/>
      <c r="J69" s="585"/>
      <c r="K69" s="585"/>
      <c r="L69" s="585"/>
      <c r="M69" s="585"/>
      <c r="N69" s="585"/>
      <c r="O69" s="585"/>
      <c r="P69" s="585"/>
    </row>
    <row r="70" spans="1:16" ht="15.75" x14ac:dyDescent="0.25">
      <c r="A70" s="196"/>
      <c r="B70" s="585"/>
      <c r="C70" s="585"/>
      <c r="D70" s="585"/>
      <c r="E70" s="585"/>
      <c r="F70" s="585"/>
      <c r="G70" s="585"/>
      <c r="H70" s="585"/>
      <c r="I70" s="585"/>
      <c r="J70" s="585"/>
      <c r="K70" s="585"/>
      <c r="L70" s="585"/>
      <c r="M70" s="585"/>
      <c r="N70" s="585"/>
      <c r="O70" s="585"/>
      <c r="P70" s="585"/>
    </row>
    <row r="71" spans="1:16" ht="15.75" x14ac:dyDescent="0.25">
      <c r="A71" s="196"/>
      <c r="B71" s="585"/>
      <c r="C71" s="585"/>
      <c r="D71" s="585"/>
      <c r="E71" s="585"/>
      <c r="F71" s="585"/>
      <c r="G71" s="585"/>
      <c r="H71" s="585"/>
      <c r="I71" s="585"/>
      <c r="J71" s="585"/>
      <c r="K71" s="585"/>
      <c r="L71" s="585"/>
      <c r="M71" s="585"/>
      <c r="N71" s="585"/>
      <c r="O71" s="585"/>
      <c r="P71" s="585"/>
    </row>
    <row r="72" spans="1:16" ht="15.75" x14ac:dyDescent="0.25">
      <c r="A72" s="196"/>
      <c r="B72" s="585"/>
      <c r="C72" s="585"/>
      <c r="D72" s="585"/>
      <c r="E72" s="585"/>
      <c r="F72" s="585"/>
      <c r="G72" s="585"/>
      <c r="H72" s="585"/>
      <c r="I72" s="585"/>
      <c r="J72" s="585"/>
      <c r="K72" s="585"/>
      <c r="L72" s="585"/>
      <c r="M72" s="585"/>
      <c r="N72" s="585"/>
      <c r="O72" s="585"/>
      <c r="P72" s="585"/>
    </row>
    <row r="73" spans="1:16" ht="15.75" x14ac:dyDescent="0.25">
      <c r="A73" s="196"/>
      <c r="B73" s="585"/>
      <c r="C73" s="585"/>
      <c r="D73" s="585"/>
      <c r="E73" s="585"/>
      <c r="F73" s="585"/>
      <c r="G73" s="585"/>
      <c r="H73" s="585"/>
      <c r="I73" s="585"/>
      <c r="J73" s="585"/>
      <c r="K73" s="585"/>
      <c r="L73" s="585"/>
      <c r="M73" s="585"/>
      <c r="N73" s="585"/>
      <c r="O73" s="585"/>
      <c r="P73" s="585"/>
    </row>
    <row r="74" spans="1:16" ht="15.75" x14ac:dyDescent="0.25">
      <c r="A74" s="196"/>
      <c r="B74" s="585"/>
      <c r="C74" s="585"/>
      <c r="D74" s="585"/>
      <c r="E74" s="585"/>
      <c r="F74" s="585"/>
      <c r="G74" s="585"/>
      <c r="H74" s="585"/>
      <c r="I74" s="585"/>
      <c r="J74" s="585"/>
      <c r="K74" s="585"/>
      <c r="L74" s="585"/>
      <c r="M74" s="585"/>
      <c r="N74" s="585"/>
      <c r="O74" s="585"/>
      <c r="P74" s="585"/>
    </row>
    <row r="75" spans="1:16" ht="15.75" x14ac:dyDescent="0.25">
      <c r="A75" s="196"/>
      <c r="B75" s="585"/>
      <c r="C75" s="585"/>
      <c r="D75" s="585"/>
      <c r="E75" s="585"/>
      <c r="F75" s="585"/>
      <c r="G75" s="585"/>
      <c r="H75" s="585"/>
      <c r="I75" s="585"/>
      <c r="J75" s="585"/>
      <c r="K75" s="585"/>
      <c r="L75" s="585"/>
      <c r="M75" s="585"/>
      <c r="N75" s="585"/>
      <c r="O75" s="585"/>
      <c r="P75" s="585"/>
    </row>
    <row r="76" spans="1:16" ht="15.75" x14ac:dyDescent="0.25">
      <c r="A76" s="196"/>
      <c r="B76" s="585"/>
      <c r="C76" s="585"/>
      <c r="D76" s="585"/>
      <c r="E76" s="585"/>
      <c r="F76" s="585"/>
      <c r="G76" s="585"/>
      <c r="H76" s="585"/>
      <c r="I76" s="585"/>
      <c r="J76" s="585"/>
      <c r="K76" s="585"/>
      <c r="L76" s="585"/>
      <c r="M76" s="585"/>
      <c r="N76" s="585"/>
      <c r="O76" s="585"/>
      <c r="P76" s="585"/>
    </row>
    <row r="77" spans="1:16" ht="15.75" x14ac:dyDescent="0.25">
      <c r="A77" s="196"/>
      <c r="B77" s="585"/>
      <c r="C77" s="585"/>
      <c r="D77" s="585"/>
      <c r="E77" s="585"/>
      <c r="F77" s="585"/>
      <c r="G77" s="585"/>
      <c r="H77" s="585"/>
      <c r="I77" s="585"/>
      <c r="J77" s="585"/>
      <c r="K77" s="585"/>
      <c r="L77" s="585"/>
      <c r="M77" s="585"/>
      <c r="N77" s="585"/>
      <c r="O77" s="585"/>
      <c r="P77" s="585"/>
    </row>
    <row r="78" spans="1:16" ht="15.75" x14ac:dyDescent="0.25">
      <c r="A78" s="196"/>
      <c r="B78" s="585"/>
      <c r="C78" s="585"/>
      <c r="D78" s="585"/>
      <c r="E78" s="585"/>
      <c r="F78" s="585"/>
      <c r="G78" s="585"/>
      <c r="H78" s="585"/>
      <c r="I78" s="585"/>
      <c r="J78" s="585"/>
      <c r="K78" s="585"/>
      <c r="L78" s="585"/>
      <c r="M78" s="585"/>
      <c r="N78" s="585"/>
      <c r="O78" s="585"/>
      <c r="P78" s="585"/>
    </row>
    <row r="79" spans="1:16" ht="15.75" x14ac:dyDescent="0.25">
      <c r="A79" s="196"/>
      <c r="B79" s="585"/>
      <c r="C79" s="585"/>
      <c r="D79" s="585"/>
      <c r="E79" s="585"/>
      <c r="F79" s="585"/>
      <c r="G79" s="585"/>
      <c r="H79" s="585"/>
      <c r="I79" s="585"/>
      <c r="J79" s="585"/>
      <c r="K79" s="585"/>
      <c r="L79" s="585"/>
      <c r="M79" s="585"/>
      <c r="N79" s="585"/>
      <c r="O79" s="585"/>
      <c r="P79" s="585"/>
    </row>
    <row r="80" spans="1:16" ht="15.75" x14ac:dyDescent="0.25">
      <c r="A80" s="196"/>
      <c r="B80" s="585"/>
      <c r="C80" s="585"/>
      <c r="D80" s="585"/>
      <c r="E80" s="585"/>
      <c r="F80" s="585"/>
      <c r="G80" s="585"/>
      <c r="H80" s="585"/>
      <c r="I80" s="585"/>
      <c r="J80" s="585"/>
      <c r="K80" s="585"/>
      <c r="L80" s="585"/>
      <c r="M80" s="585"/>
      <c r="N80" s="585"/>
      <c r="O80" s="585"/>
      <c r="P80" s="585"/>
    </row>
    <row r="81" spans="1:28" ht="15.75" x14ac:dyDescent="0.25">
      <c r="A81" s="196"/>
      <c r="B81" s="585"/>
      <c r="C81" s="585"/>
      <c r="D81" s="585"/>
      <c r="E81" s="585"/>
      <c r="F81" s="585"/>
      <c r="G81" s="585"/>
      <c r="H81" s="585"/>
      <c r="I81" s="585"/>
      <c r="J81" s="585"/>
      <c r="K81" s="585"/>
      <c r="L81" s="585"/>
      <c r="M81" s="585"/>
      <c r="N81" s="585"/>
      <c r="O81" s="585"/>
      <c r="P81" s="585"/>
    </row>
    <row r="82" spans="1:28" ht="15.75" x14ac:dyDescent="0.25">
      <c r="A82" s="196"/>
      <c r="B82" s="585"/>
      <c r="C82" s="585"/>
      <c r="D82" s="585"/>
      <c r="E82" s="585"/>
      <c r="F82" s="585"/>
      <c r="G82" s="585"/>
      <c r="H82" s="585"/>
      <c r="I82" s="585"/>
      <c r="J82" s="585"/>
      <c r="K82" s="585"/>
      <c r="L82" s="585"/>
      <c r="M82" s="585"/>
      <c r="N82" s="585"/>
      <c r="O82" s="585"/>
      <c r="P82" s="585"/>
    </row>
    <row r="83" spans="1:28" ht="15.75" x14ac:dyDescent="0.25">
      <c r="A83" s="196"/>
      <c r="B83" s="585"/>
      <c r="C83" s="585"/>
      <c r="D83" s="585"/>
      <c r="E83" s="585"/>
      <c r="F83" s="585"/>
      <c r="G83" s="585"/>
      <c r="H83" s="585"/>
      <c r="I83" s="585"/>
      <c r="J83" s="585"/>
      <c r="K83" s="585"/>
      <c r="L83" s="585"/>
      <c r="M83" s="585"/>
      <c r="N83" s="585"/>
      <c r="O83" s="585"/>
      <c r="P83" s="585"/>
    </row>
    <row r="84" spans="1:28" ht="15.75" x14ac:dyDescent="0.25">
      <c r="A84" s="196"/>
      <c r="B84" s="585"/>
      <c r="C84" s="585"/>
      <c r="D84" s="585"/>
      <c r="E84" s="585"/>
      <c r="F84" s="585"/>
      <c r="G84" s="585"/>
      <c r="H84" s="585"/>
      <c r="I84" s="585"/>
      <c r="J84" s="585"/>
      <c r="K84" s="585"/>
      <c r="L84" s="585"/>
      <c r="M84" s="585"/>
      <c r="N84" s="585"/>
      <c r="O84" s="585"/>
      <c r="P84" s="585"/>
    </row>
    <row r="85" spans="1:28" ht="15.75" x14ac:dyDescent="0.25">
      <c r="A85" s="196"/>
      <c r="B85" s="585"/>
      <c r="C85" s="585"/>
      <c r="D85" s="585"/>
      <c r="E85" s="585"/>
      <c r="F85" s="585"/>
      <c r="G85" s="585"/>
      <c r="H85" s="585"/>
      <c r="I85" s="585"/>
      <c r="J85" s="585"/>
      <c r="K85" s="585"/>
      <c r="L85" s="585"/>
      <c r="M85" s="585"/>
      <c r="N85" s="585"/>
      <c r="O85" s="585"/>
      <c r="P85" s="585"/>
    </row>
    <row r="86" spans="1:28" ht="15.75" x14ac:dyDescent="0.25">
      <c r="A86" s="196"/>
      <c r="B86" s="585"/>
      <c r="C86" s="585"/>
      <c r="D86" s="585"/>
      <c r="E86" s="585"/>
      <c r="F86" s="585"/>
      <c r="G86" s="585"/>
      <c r="H86" s="585"/>
      <c r="I86" s="585"/>
      <c r="J86" s="585"/>
      <c r="K86" s="585"/>
      <c r="L86" s="585"/>
      <c r="M86" s="585"/>
      <c r="N86" s="585"/>
      <c r="O86" s="585"/>
      <c r="P86" s="585"/>
    </row>
    <row r="87" spans="1:28" ht="15.75" x14ac:dyDescent="0.25">
      <c r="A87" s="196"/>
      <c r="B87" s="585"/>
      <c r="C87" s="585"/>
      <c r="D87" s="585"/>
      <c r="E87" s="585"/>
      <c r="F87" s="585"/>
      <c r="G87" s="585"/>
      <c r="H87" s="585"/>
      <c r="I87" s="585"/>
      <c r="J87" s="585"/>
      <c r="K87" s="585"/>
      <c r="L87" s="585"/>
      <c r="M87" s="585"/>
      <c r="N87" s="585"/>
      <c r="O87" s="585"/>
      <c r="P87" s="585"/>
    </row>
    <row r="88" spans="1:28" ht="15.75" x14ac:dyDescent="0.25">
      <c r="A88" s="196"/>
      <c r="B88" s="585"/>
      <c r="C88" s="585"/>
      <c r="D88" s="585"/>
      <c r="E88" s="585"/>
      <c r="F88" s="585"/>
      <c r="G88" s="585"/>
      <c r="H88" s="585"/>
      <c r="I88" s="585"/>
      <c r="J88" s="585"/>
      <c r="K88" s="585"/>
      <c r="L88" s="585"/>
      <c r="M88" s="585"/>
      <c r="N88" s="585"/>
      <c r="O88" s="585"/>
      <c r="P88" s="585"/>
    </row>
    <row r="89" spans="1:28" ht="15.75" x14ac:dyDescent="0.25">
      <c r="A89" s="196"/>
      <c r="B89" s="585"/>
      <c r="C89" s="585"/>
      <c r="D89" s="585"/>
      <c r="E89" s="585"/>
      <c r="F89" s="585"/>
      <c r="G89" s="585"/>
      <c r="H89" s="585"/>
      <c r="I89" s="585"/>
      <c r="J89" s="585"/>
      <c r="K89" s="585"/>
      <c r="L89" s="585"/>
      <c r="M89" s="585"/>
      <c r="N89" s="585"/>
      <c r="O89" s="585"/>
      <c r="P89" s="585"/>
      <c r="Y89" t="s">
        <v>661</v>
      </c>
      <c r="Z89" t="s">
        <v>664</v>
      </c>
      <c r="AB89" s="616"/>
    </row>
    <row r="90" spans="1:28" ht="15.75" x14ac:dyDescent="0.25">
      <c r="A90" s="196"/>
      <c r="B90" s="585"/>
      <c r="C90" s="585"/>
      <c r="D90" s="585"/>
      <c r="E90" s="585"/>
      <c r="F90" s="585"/>
      <c r="G90" s="585"/>
      <c r="H90" s="585"/>
      <c r="I90" s="585"/>
      <c r="J90" s="585"/>
      <c r="K90" s="585"/>
      <c r="L90" s="585"/>
      <c r="M90" s="585"/>
      <c r="N90" s="585"/>
      <c r="O90" s="585"/>
      <c r="P90" s="585"/>
      <c r="Y90" t="s">
        <v>135</v>
      </c>
      <c r="Z90" s="108">
        <v>0.20499999999999999</v>
      </c>
      <c r="AB90" s="617"/>
    </row>
    <row r="91" spans="1:28" ht="15.75" x14ac:dyDescent="0.25">
      <c r="A91" s="196"/>
      <c r="B91" s="585"/>
      <c r="C91" s="585"/>
      <c r="D91" s="585"/>
      <c r="E91" s="585"/>
      <c r="F91" s="585"/>
      <c r="G91" s="585"/>
      <c r="H91" s="585"/>
      <c r="I91" s="585"/>
      <c r="J91" s="585"/>
      <c r="K91" s="585"/>
      <c r="L91" s="585"/>
      <c r="M91" s="585"/>
      <c r="N91" s="585"/>
      <c r="O91" s="585"/>
      <c r="P91" s="585"/>
      <c r="Y91" t="s">
        <v>136</v>
      </c>
      <c r="Z91" s="108">
        <v>0.23799999999999999</v>
      </c>
      <c r="AB91" s="616"/>
    </row>
    <row r="92" spans="1:28" ht="15.75" x14ac:dyDescent="0.25">
      <c r="A92" s="196"/>
      <c r="B92" s="585"/>
      <c r="C92" s="585"/>
      <c r="D92" s="585"/>
      <c r="E92" s="585"/>
      <c r="F92" s="585"/>
      <c r="G92" s="585"/>
      <c r="H92" s="585"/>
      <c r="I92" s="585"/>
      <c r="J92" s="585"/>
      <c r="K92" s="585"/>
      <c r="L92" s="585"/>
      <c r="M92" s="585"/>
      <c r="N92" s="585"/>
      <c r="O92" s="585"/>
      <c r="P92" s="585"/>
      <c r="Y92" t="s">
        <v>138</v>
      </c>
      <c r="Z92" s="108">
        <v>0.13800000000000001</v>
      </c>
      <c r="AB92" s="617"/>
    </row>
    <row r="93" spans="1:28" ht="15.75" x14ac:dyDescent="0.25">
      <c r="A93" s="196"/>
      <c r="B93" s="585"/>
      <c r="C93" s="585"/>
      <c r="D93" s="585"/>
      <c r="E93" s="585"/>
      <c r="F93" s="585"/>
      <c r="G93" s="585"/>
      <c r="H93" s="585"/>
      <c r="I93" s="585"/>
      <c r="J93" s="585"/>
      <c r="K93" s="585"/>
      <c r="L93" s="585"/>
      <c r="M93" s="585"/>
      <c r="N93" s="585"/>
      <c r="O93" s="585"/>
      <c r="P93" s="585"/>
      <c r="Y93" t="s">
        <v>137</v>
      </c>
      <c r="Z93" s="108">
        <v>0.14199999999999999</v>
      </c>
      <c r="AB93" s="616"/>
    </row>
    <row r="94" spans="1:28" ht="15.75" x14ac:dyDescent="0.25">
      <c r="A94" s="196"/>
      <c r="B94" s="585"/>
      <c r="C94" s="585"/>
      <c r="D94" s="585"/>
      <c r="E94" s="585"/>
      <c r="F94" s="585"/>
      <c r="G94" s="585"/>
      <c r="H94" s="585"/>
      <c r="I94" s="585"/>
      <c r="J94" s="585"/>
      <c r="K94" s="585"/>
      <c r="L94" s="585"/>
      <c r="M94" s="585"/>
      <c r="N94" s="585"/>
      <c r="O94" s="585"/>
      <c r="P94" s="585"/>
      <c r="Y94" t="s">
        <v>662</v>
      </c>
      <c r="Z94" s="108">
        <v>9.4E-2</v>
      </c>
      <c r="AB94" s="617"/>
    </row>
    <row r="95" spans="1:28" ht="15.75" x14ac:dyDescent="0.25">
      <c r="A95" s="196"/>
      <c r="B95" s="585"/>
      <c r="C95" s="585"/>
      <c r="D95" s="585"/>
      <c r="E95" s="585"/>
      <c r="F95" s="585"/>
      <c r="G95" s="585"/>
      <c r="H95" s="585"/>
      <c r="I95" s="585"/>
      <c r="J95" s="585"/>
      <c r="K95" s="585"/>
      <c r="L95" s="585"/>
      <c r="M95" s="585"/>
      <c r="N95" s="585"/>
      <c r="O95" s="585"/>
      <c r="P95" s="585"/>
      <c r="Y95" t="s">
        <v>665</v>
      </c>
      <c r="Z95" s="108">
        <v>0.223</v>
      </c>
      <c r="AB95" s="618"/>
    </row>
    <row r="96" spans="1:28" ht="15.75" x14ac:dyDescent="0.25">
      <c r="A96" s="196"/>
      <c r="B96" s="585"/>
      <c r="C96" s="585"/>
      <c r="D96" s="585"/>
      <c r="E96" s="585"/>
      <c r="F96" s="585"/>
      <c r="G96" s="585"/>
      <c r="H96" s="585"/>
      <c r="I96" s="585"/>
      <c r="J96" s="585"/>
      <c r="K96" s="585"/>
      <c r="L96" s="585"/>
      <c r="M96" s="585"/>
      <c r="N96" s="585"/>
      <c r="O96" s="585"/>
      <c r="P96" s="585"/>
    </row>
    <row r="97" spans="1:39" ht="15.75" x14ac:dyDescent="0.25">
      <c r="A97" s="196"/>
      <c r="B97" s="585"/>
      <c r="C97" s="585"/>
      <c r="D97" s="585"/>
      <c r="E97" s="585"/>
      <c r="F97" s="585"/>
      <c r="G97" s="585"/>
      <c r="H97" s="585"/>
      <c r="I97" s="585"/>
      <c r="J97" s="585"/>
      <c r="K97" s="585"/>
      <c r="L97" s="585"/>
      <c r="M97" s="585"/>
      <c r="N97" s="585"/>
      <c r="O97" s="585"/>
      <c r="P97" s="585"/>
    </row>
    <row r="98" spans="1:39" ht="15.75" x14ac:dyDescent="0.25">
      <c r="A98" s="196"/>
      <c r="B98" s="585"/>
      <c r="C98" s="585"/>
      <c r="D98" s="585"/>
      <c r="E98" s="585"/>
      <c r="F98" s="585"/>
      <c r="G98" s="585"/>
      <c r="H98" s="585"/>
      <c r="I98" s="585"/>
      <c r="J98" s="585"/>
      <c r="K98" s="585"/>
      <c r="L98" s="585"/>
      <c r="M98" s="585"/>
      <c r="N98" s="585"/>
      <c r="O98" s="585"/>
      <c r="P98" s="585"/>
    </row>
    <row r="99" spans="1:39" ht="15.75" x14ac:dyDescent="0.25">
      <c r="A99" s="196"/>
      <c r="B99" s="585"/>
      <c r="C99" s="585"/>
      <c r="D99" s="585"/>
      <c r="E99" s="585"/>
      <c r="F99" s="585"/>
      <c r="G99" s="585"/>
      <c r="H99" s="585"/>
      <c r="I99" s="585"/>
      <c r="J99" s="585"/>
      <c r="K99" s="585"/>
      <c r="L99" s="585"/>
      <c r="M99" s="585"/>
      <c r="N99" s="585"/>
      <c r="O99" s="585"/>
      <c r="P99" s="585"/>
    </row>
    <row r="100" spans="1:39" ht="15.75" x14ac:dyDescent="0.25">
      <c r="A100" s="196"/>
      <c r="B100" s="585"/>
      <c r="C100" s="585"/>
      <c r="D100" s="585"/>
      <c r="E100" s="585"/>
      <c r="F100" s="585"/>
      <c r="G100" s="585"/>
      <c r="H100" s="585"/>
      <c r="I100" s="585"/>
      <c r="J100" s="585"/>
      <c r="K100" s="585"/>
      <c r="L100" s="585"/>
      <c r="M100" s="585"/>
      <c r="N100" s="585"/>
      <c r="O100" s="585"/>
      <c r="P100" s="585"/>
    </row>
    <row r="101" spans="1:39" ht="15.75" x14ac:dyDescent="0.25">
      <c r="A101" s="196"/>
      <c r="B101" s="585"/>
      <c r="C101" s="585"/>
      <c r="D101" s="585"/>
      <c r="E101" s="585"/>
      <c r="F101" s="585"/>
      <c r="G101" s="585"/>
      <c r="H101" s="585"/>
      <c r="I101" s="585"/>
      <c r="J101" s="585"/>
      <c r="K101" s="585"/>
      <c r="L101" s="585"/>
      <c r="M101" s="585"/>
      <c r="N101" s="585"/>
      <c r="O101" s="585"/>
      <c r="P101" s="585"/>
    </row>
    <row r="102" spans="1:39" ht="15.75" x14ac:dyDescent="0.25">
      <c r="A102" s="196"/>
      <c r="B102" s="585"/>
      <c r="C102" s="585"/>
      <c r="D102" s="585"/>
      <c r="E102" s="585"/>
      <c r="F102" s="585"/>
      <c r="G102" s="585"/>
      <c r="H102" s="585"/>
      <c r="I102" s="585"/>
      <c r="J102" s="585"/>
      <c r="K102" s="585"/>
      <c r="L102" s="585"/>
      <c r="M102" s="585"/>
      <c r="N102" s="585"/>
      <c r="O102" s="585"/>
      <c r="P102" s="585"/>
    </row>
    <row r="103" spans="1:39" ht="15.75" x14ac:dyDescent="0.25">
      <c r="A103" s="196"/>
      <c r="B103" s="585"/>
      <c r="C103" s="585"/>
      <c r="D103" s="585"/>
      <c r="E103" s="585"/>
      <c r="F103" s="585"/>
      <c r="G103" s="585"/>
      <c r="H103" s="585"/>
      <c r="I103" s="585"/>
      <c r="J103" s="585"/>
      <c r="K103" s="585"/>
      <c r="L103" s="585"/>
      <c r="M103" s="585"/>
      <c r="N103" s="585"/>
      <c r="O103" s="585"/>
      <c r="P103" s="585"/>
    </row>
    <row r="104" spans="1:39" ht="15.75" x14ac:dyDescent="0.25">
      <c r="A104" s="196"/>
      <c r="B104" s="585"/>
      <c r="C104" s="585"/>
      <c r="D104" s="585"/>
      <c r="E104" s="585"/>
      <c r="F104" s="585"/>
      <c r="G104" s="585"/>
      <c r="H104" s="585"/>
      <c r="I104" s="585"/>
      <c r="J104" s="585"/>
      <c r="K104" s="585"/>
      <c r="L104" s="585"/>
      <c r="M104" s="585"/>
      <c r="N104" s="585"/>
      <c r="O104" s="585"/>
      <c r="P104" s="585"/>
    </row>
    <row r="106" spans="1:39" s="591" customFormat="1" ht="22.9" customHeight="1" x14ac:dyDescent="0.25">
      <c r="A106" s="586"/>
      <c r="B106" s="586" t="s">
        <v>244</v>
      </c>
      <c r="C106" s="587"/>
      <c r="D106" s="588"/>
      <c r="E106" s="588"/>
      <c r="F106" s="589"/>
      <c r="G106" s="589"/>
      <c r="H106" s="589"/>
      <c r="I106" s="589"/>
      <c r="J106" s="589"/>
      <c r="K106" s="589"/>
      <c r="L106" s="589"/>
      <c r="M106" s="589"/>
      <c r="N106" s="589"/>
      <c r="O106" s="589"/>
      <c r="P106" s="589"/>
      <c r="Q106" s="590"/>
      <c r="R106" s="590"/>
      <c r="S106" s="590"/>
      <c r="T106" s="590"/>
      <c r="U106" s="590"/>
      <c r="V106" s="590"/>
      <c r="W106" s="590"/>
      <c r="X106" s="590"/>
      <c r="Y106" s="590"/>
      <c r="Z106" s="590"/>
      <c r="AA106" s="590"/>
      <c r="AB106" s="590"/>
      <c r="AC106" s="590"/>
      <c r="AD106" s="590"/>
      <c r="AE106" s="590"/>
      <c r="AF106" s="590"/>
      <c r="AG106" s="590"/>
      <c r="AH106" s="590"/>
      <c r="AI106" s="590"/>
      <c r="AJ106" s="590"/>
      <c r="AK106" s="590"/>
      <c r="AL106" s="590"/>
      <c r="AM106" s="590"/>
    </row>
    <row r="107" spans="1:39" customFormat="1" x14ac:dyDescent="0.25"/>
    <row r="108" spans="1:39" ht="14.45" customHeight="1" thickBot="1" x14ac:dyDescent="0.3">
      <c r="I108" s="201"/>
      <c r="J108" s="201"/>
      <c r="K108" s="201"/>
      <c r="L108" s="201"/>
      <c r="M108" s="201"/>
      <c r="N108" s="201"/>
      <c r="O108" s="201"/>
      <c r="P108" s="201"/>
    </row>
    <row r="109" spans="1:39" ht="14.45" customHeight="1" x14ac:dyDescent="0.25">
      <c r="B109" s="99"/>
      <c r="C109" s="98"/>
      <c r="D109" s="98"/>
      <c r="E109" s="98"/>
      <c r="F109" s="98"/>
      <c r="G109" s="98"/>
      <c r="H109" s="97"/>
      <c r="I109" s="660" t="s">
        <v>660</v>
      </c>
      <c r="J109" s="661"/>
      <c r="K109" s="661"/>
      <c r="L109" s="661"/>
      <c r="M109" s="661"/>
      <c r="N109" s="661"/>
      <c r="O109" s="661"/>
      <c r="P109" s="661"/>
    </row>
    <row r="110" spans="1:39" ht="18" customHeight="1" x14ac:dyDescent="0.25">
      <c r="B110" s="110"/>
      <c r="H110" s="102"/>
      <c r="I110" s="660"/>
      <c r="J110" s="661"/>
      <c r="K110" s="661"/>
      <c r="L110" s="661"/>
      <c r="M110" s="661"/>
      <c r="N110" s="661"/>
      <c r="O110" s="661"/>
      <c r="P110" s="661"/>
    </row>
    <row r="111" spans="1:39" ht="32.450000000000003" customHeight="1" x14ac:dyDescent="0.25">
      <c r="B111" s="110"/>
      <c r="H111" s="102"/>
      <c r="I111" s="660"/>
      <c r="J111" s="661"/>
      <c r="K111" s="661"/>
      <c r="L111" s="661"/>
      <c r="M111" s="661"/>
      <c r="N111" s="661"/>
      <c r="O111" s="661"/>
      <c r="P111" s="661"/>
    </row>
    <row r="112" spans="1:39" ht="14.45" customHeight="1" x14ac:dyDescent="0.25">
      <c r="B112" s="110"/>
      <c r="H112" s="102"/>
      <c r="I112" s="660"/>
      <c r="J112" s="661"/>
      <c r="K112" s="661"/>
      <c r="L112" s="661"/>
      <c r="M112" s="661"/>
      <c r="N112" s="661"/>
      <c r="O112" s="661"/>
      <c r="P112" s="661"/>
    </row>
    <row r="113" spans="2:31" ht="14.45" customHeight="1" x14ac:dyDescent="0.25">
      <c r="B113" s="110"/>
      <c r="H113" s="102"/>
      <c r="I113" s="660"/>
      <c r="J113" s="661"/>
      <c r="K113" s="661"/>
      <c r="L113" s="661"/>
      <c r="M113" s="661"/>
      <c r="N113" s="661"/>
      <c r="O113" s="661"/>
      <c r="P113" s="661"/>
    </row>
    <row r="114" spans="2:31" ht="14.45" customHeight="1" x14ac:dyDescent="0.25">
      <c r="B114" s="110"/>
      <c r="H114" s="102"/>
      <c r="I114" s="660"/>
      <c r="J114" s="661"/>
      <c r="K114" s="661"/>
      <c r="L114" s="661"/>
      <c r="M114" s="661"/>
      <c r="N114" s="661"/>
      <c r="O114" s="661"/>
      <c r="P114" s="661"/>
    </row>
    <row r="115" spans="2:31" ht="14.45" customHeight="1" x14ac:dyDescent="0.25">
      <c r="B115" s="110"/>
      <c r="H115" s="102"/>
      <c r="I115" s="660"/>
      <c r="J115" s="661"/>
      <c r="K115" s="661"/>
      <c r="L115" s="661"/>
      <c r="M115" s="661"/>
      <c r="N115" s="661"/>
      <c r="O115" s="661"/>
      <c r="P115" s="661"/>
    </row>
    <row r="116" spans="2:31" ht="14.45" customHeight="1" x14ac:dyDescent="0.25">
      <c r="B116" s="110"/>
      <c r="H116" s="102"/>
      <c r="I116" s="660"/>
      <c r="J116" s="661"/>
      <c r="K116" s="661"/>
      <c r="L116" s="661"/>
      <c r="M116" s="661"/>
      <c r="N116" s="661"/>
      <c r="O116" s="661"/>
      <c r="P116" s="661"/>
      <c r="Z116" t="s">
        <v>659</v>
      </c>
      <c r="AA116" t="s">
        <v>654</v>
      </c>
      <c r="AB116" t="s">
        <v>655</v>
      </c>
      <c r="AC116" t="s">
        <v>656</v>
      </c>
      <c r="AD116" t="s">
        <v>657</v>
      </c>
      <c r="AE116" t="s">
        <v>658</v>
      </c>
    </row>
    <row r="117" spans="2:31" ht="14.45" customHeight="1" x14ac:dyDescent="0.25">
      <c r="B117" s="110"/>
      <c r="H117" s="102"/>
      <c r="I117" s="660"/>
      <c r="J117" s="661"/>
      <c r="K117" s="661"/>
      <c r="L117" s="661"/>
      <c r="M117" s="661"/>
      <c r="N117" s="661"/>
      <c r="O117" s="661"/>
      <c r="P117" s="661"/>
      <c r="Z117" t="s">
        <v>650</v>
      </c>
      <c r="AA117">
        <v>795</v>
      </c>
      <c r="AB117">
        <v>800</v>
      </c>
      <c r="AC117">
        <v>850</v>
      </c>
      <c r="AD117">
        <v>900</v>
      </c>
      <c r="AE117">
        <v>950</v>
      </c>
    </row>
    <row r="118" spans="2:31" ht="14.45" customHeight="1" x14ac:dyDescent="0.25">
      <c r="B118" s="110"/>
      <c r="H118" s="102"/>
      <c r="I118" s="660"/>
      <c r="J118" s="661"/>
      <c r="K118" s="661"/>
      <c r="L118" s="661"/>
      <c r="M118" s="661"/>
      <c r="N118" s="661"/>
      <c r="O118" s="661"/>
      <c r="P118" s="661"/>
      <c r="Z118" t="s">
        <v>651</v>
      </c>
      <c r="AA118">
        <v>795</v>
      </c>
      <c r="AB118">
        <v>800</v>
      </c>
      <c r="AC118">
        <v>850</v>
      </c>
      <c r="AD118">
        <v>900</v>
      </c>
      <c r="AE118">
        <v>950</v>
      </c>
    </row>
    <row r="119" spans="2:31" ht="14.45" customHeight="1" thickBot="1" x14ac:dyDescent="0.3">
      <c r="B119" s="200"/>
      <c r="C119" s="101"/>
      <c r="D119" s="101"/>
      <c r="E119" s="101"/>
      <c r="F119" s="101"/>
      <c r="G119" s="101"/>
      <c r="H119" s="100"/>
      <c r="I119" s="660"/>
      <c r="J119" s="661"/>
      <c r="K119" s="661"/>
      <c r="L119" s="661"/>
      <c r="M119" s="661"/>
      <c r="N119" s="661"/>
      <c r="O119" s="661"/>
      <c r="P119" s="661"/>
      <c r="Z119" t="s">
        <v>652</v>
      </c>
      <c r="AA119">
        <v>882</v>
      </c>
      <c r="AB119">
        <v>900</v>
      </c>
      <c r="AC119">
        <v>950</v>
      </c>
      <c r="AD119">
        <v>1000</v>
      </c>
      <c r="AE119">
        <v>1050</v>
      </c>
    </row>
    <row r="120" spans="2:31" ht="14.45" customHeight="1" x14ac:dyDescent="0.25">
      <c r="Z120" t="s">
        <v>653</v>
      </c>
      <c r="AA120">
        <v>1942</v>
      </c>
      <c r="AB120">
        <v>2000</v>
      </c>
      <c r="AC120">
        <v>2100</v>
      </c>
      <c r="AD120">
        <v>2200</v>
      </c>
      <c r="AE120">
        <v>2300</v>
      </c>
    </row>
    <row r="121" spans="2:31" ht="14.45" customHeight="1" x14ac:dyDescent="0.25"/>
    <row r="122" spans="2:31" ht="15.75" x14ac:dyDescent="0.25">
      <c r="B122" s="592"/>
      <c r="C122" s="592"/>
      <c r="D122" s="592"/>
      <c r="E122" s="592"/>
      <c r="F122" s="592"/>
      <c r="G122" s="592"/>
      <c r="H122" s="592"/>
      <c r="I122" s="593"/>
      <c r="J122" s="570"/>
      <c r="K122" s="570"/>
      <c r="L122" s="570"/>
      <c r="M122" s="570"/>
      <c r="N122" s="570"/>
      <c r="O122" s="570"/>
      <c r="P122" s="570"/>
    </row>
    <row r="124" spans="2:31" customFormat="1" ht="15.75" thickBot="1" x14ac:dyDescent="0.3"/>
    <row r="125" spans="2:31" ht="14.45" customHeight="1" x14ac:dyDescent="0.25">
      <c r="B125" s="99"/>
      <c r="C125" s="98"/>
      <c r="D125" s="98"/>
      <c r="E125" s="98"/>
      <c r="F125" s="98"/>
      <c r="G125" s="98"/>
      <c r="H125" s="97"/>
      <c r="I125" s="662" t="s">
        <v>355</v>
      </c>
      <c r="J125" s="659"/>
      <c r="K125" s="659"/>
      <c r="L125" s="659"/>
      <c r="M125" s="659"/>
      <c r="N125" s="659"/>
      <c r="O125" s="659"/>
      <c r="P125" s="659"/>
    </row>
    <row r="126" spans="2:31" ht="14.45" customHeight="1" x14ac:dyDescent="0.25">
      <c r="B126" s="110"/>
      <c r="H126" s="102"/>
      <c r="I126" s="662"/>
      <c r="J126" s="659"/>
      <c r="K126" s="659"/>
      <c r="L126" s="659"/>
      <c r="M126" s="659"/>
      <c r="N126" s="659"/>
      <c r="O126" s="659"/>
      <c r="P126" s="659"/>
    </row>
    <row r="127" spans="2:31" ht="14.45" customHeight="1" x14ac:dyDescent="0.25">
      <c r="B127" s="110"/>
      <c r="H127" s="102"/>
      <c r="I127" s="662"/>
      <c r="J127" s="659"/>
      <c r="K127" s="659"/>
      <c r="L127" s="659"/>
      <c r="M127" s="659"/>
      <c r="N127" s="659"/>
      <c r="O127" s="659"/>
      <c r="P127" s="659"/>
    </row>
    <row r="128" spans="2:31" ht="14.45" customHeight="1" x14ac:dyDescent="0.25">
      <c r="B128" s="110"/>
      <c r="H128" s="102"/>
      <c r="I128" s="662"/>
      <c r="J128" s="659"/>
      <c r="K128" s="659"/>
      <c r="L128" s="659"/>
      <c r="M128" s="659"/>
      <c r="N128" s="659"/>
      <c r="O128" s="659"/>
      <c r="P128" s="659"/>
    </row>
    <row r="129" spans="2:26" ht="14.45" customHeight="1" x14ac:dyDescent="0.25">
      <c r="B129" s="110"/>
      <c r="H129" s="102"/>
      <c r="I129" s="662"/>
      <c r="J129" s="659"/>
      <c r="K129" s="659"/>
      <c r="L129" s="659"/>
      <c r="M129" s="659"/>
      <c r="N129" s="659"/>
      <c r="O129" s="659"/>
      <c r="P129" s="659"/>
    </row>
    <row r="130" spans="2:26" ht="14.45" customHeight="1" x14ac:dyDescent="0.25">
      <c r="B130" s="110"/>
      <c r="H130" s="102"/>
      <c r="I130" s="662"/>
      <c r="J130" s="659"/>
      <c r="K130" s="659"/>
      <c r="L130" s="659"/>
      <c r="M130" s="659"/>
      <c r="N130" s="659"/>
      <c r="O130" s="659"/>
      <c r="P130" s="659"/>
    </row>
    <row r="131" spans="2:26" ht="14.45" customHeight="1" x14ac:dyDescent="0.25">
      <c r="B131" s="110"/>
      <c r="H131" s="102"/>
      <c r="I131" s="662"/>
      <c r="J131" s="659"/>
      <c r="K131" s="659"/>
      <c r="L131" s="659"/>
      <c r="M131" s="659"/>
      <c r="N131" s="659"/>
      <c r="O131" s="659"/>
      <c r="P131" s="659"/>
    </row>
    <row r="132" spans="2:26" ht="14.45" customHeight="1" x14ac:dyDescent="0.25">
      <c r="B132" s="110"/>
      <c r="H132" s="102"/>
      <c r="I132" s="662"/>
      <c r="J132" s="659"/>
      <c r="K132" s="659"/>
      <c r="L132" s="659"/>
      <c r="M132" s="659"/>
      <c r="N132" s="659"/>
      <c r="O132" s="659"/>
      <c r="P132" s="659"/>
    </row>
    <row r="133" spans="2:26" ht="14.45" customHeight="1" x14ac:dyDescent="0.25">
      <c r="B133" s="110"/>
      <c r="H133" s="102"/>
      <c r="I133" s="662"/>
      <c r="J133" s="659"/>
      <c r="K133" s="659"/>
      <c r="L133" s="659"/>
      <c r="M133" s="659"/>
      <c r="N133" s="659"/>
      <c r="O133" s="659"/>
      <c r="P133" s="659"/>
    </row>
    <row r="134" spans="2:26" ht="14.45" customHeight="1" x14ac:dyDescent="0.25">
      <c r="B134" s="110"/>
      <c r="H134" s="102"/>
      <c r="I134" s="662"/>
      <c r="J134" s="659"/>
      <c r="K134" s="659"/>
      <c r="L134" s="659"/>
      <c r="M134" s="659"/>
      <c r="N134" s="659"/>
      <c r="O134" s="659"/>
      <c r="P134" s="659"/>
    </row>
    <row r="135" spans="2:26" ht="14.45" customHeight="1" x14ac:dyDescent="0.25">
      <c r="B135" s="110"/>
      <c r="H135" s="102"/>
      <c r="I135" s="662"/>
      <c r="J135" s="659"/>
      <c r="K135" s="659"/>
      <c r="L135" s="659"/>
      <c r="M135" s="659"/>
      <c r="N135" s="659"/>
      <c r="O135" s="659"/>
      <c r="P135" s="659"/>
    </row>
    <row r="136" spans="2:26" ht="14.45" customHeight="1" x14ac:dyDescent="0.25">
      <c r="B136" s="110"/>
      <c r="H136" s="102"/>
      <c r="I136" s="662"/>
      <c r="J136" s="659"/>
      <c r="K136" s="659"/>
      <c r="L136" s="659"/>
      <c r="M136" s="659"/>
      <c r="N136" s="659"/>
      <c r="O136" s="659"/>
      <c r="P136" s="659"/>
      <c r="Y136" t="s">
        <v>661</v>
      </c>
      <c r="Z136" t="s">
        <v>663</v>
      </c>
    </row>
    <row r="137" spans="2:26" ht="14.45" customHeight="1" x14ac:dyDescent="0.25">
      <c r="B137" s="110"/>
      <c r="H137" s="102"/>
      <c r="I137" s="662"/>
      <c r="J137" s="659"/>
      <c r="K137" s="659"/>
      <c r="L137" s="659"/>
      <c r="M137" s="659"/>
      <c r="N137" s="659"/>
      <c r="O137" s="659"/>
      <c r="P137" s="659"/>
      <c r="Y137" t="s">
        <v>135</v>
      </c>
      <c r="Z137">
        <v>22.7</v>
      </c>
    </row>
    <row r="138" spans="2:26" ht="14.45" customHeight="1" x14ac:dyDescent="0.25">
      <c r="B138" s="110"/>
      <c r="H138" s="102"/>
      <c r="I138" s="662"/>
      <c r="J138" s="659"/>
      <c r="K138" s="659"/>
      <c r="L138" s="659"/>
      <c r="M138" s="659"/>
      <c r="N138" s="659"/>
      <c r="O138" s="659"/>
      <c r="P138" s="659"/>
      <c r="Y138" t="s">
        <v>136</v>
      </c>
      <c r="Z138">
        <v>30.5</v>
      </c>
    </row>
    <row r="139" spans="2:26" ht="21.6" customHeight="1" x14ac:dyDescent="0.25">
      <c r="B139" s="110"/>
      <c r="H139" s="102"/>
      <c r="I139" s="663" t="s">
        <v>248</v>
      </c>
      <c r="J139" s="664"/>
      <c r="K139" s="664"/>
      <c r="L139" s="664"/>
      <c r="M139" s="664"/>
      <c r="N139" s="664"/>
      <c r="O139" s="664"/>
      <c r="P139" s="664"/>
      <c r="Y139" t="s">
        <v>138</v>
      </c>
      <c r="Z139">
        <v>20.2</v>
      </c>
    </row>
    <row r="140" spans="2:26" ht="21.6" customHeight="1" x14ac:dyDescent="0.25">
      <c r="B140" s="110"/>
      <c r="H140" s="102"/>
      <c r="I140" s="231"/>
      <c r="J140" s="232" t="s">
        <v>135</v>
      </c>
      <c r="K140" s="233"/>
      <c r="L140" s="234"/>
      <c r="M140" s="235" t="s">
        <v>245</v>
      </c>
      <c r="N140" s="233"/>
      <c r="O140" s="233"/>
      <c r="P140" s="233"/>
      <c r="Y140" t="s">
        <v>137</v>
      </c>
      <c r="Z140">
        <v>27.6</v>
      </c>
    </row>
    <row r="141" spans="2:26" ht="21.6" customHeight="1" x14ac:dyDescent="0.25">
      <c r="B141" s="110"/>
      <c r="H141" s="102"/>
      <c r="I141" s="231"/>
      <c r="J141" s="232" t="s">
        <v>136</v>
      </c>
      <c r="K141" s="233"/>
      <c r="L141" s="234"/>
      <c r="M141" s="235" t="s">
        <v>245</v>
      </c>
      <c r="N141" s="233"/>
      <c r="O141" s="233"/>
      <c r="P141" s="233"/>
      <c r="Y141" t="s">
        <v>662</v>
      </c>
      <c r="Z141">
        <v>23.5</v>
      </c>
    </row>
    <row r="142" spans="2:26" ht="21.6" customHeight="1" x14ac:dyDescent="0.25">
      <c r="B142" s="110"/>
      <c r="H142" s="102"/>
      <c r="I142" s="231"/>
      <c r="J142" s="232" t="s">
        <v>137</v>
      </c>
      <c r="K142" s="233"/>
      <c r="L142" s="234"/>
      <c r="M142" s="235" t="s">
        <v>246</v>
      </c>
      <c r="N142" s="233"/>
      <c r="O142" s="233"/>
      <c r="P142" s="233"/>
    </row>
    <row r="143" spans="2:26" ht="21.6" customHeight="1" x14ac:dyDescent="0.25">
      <c r="B143" s="110"/>
      <c r="H143" s="102"/>
      <c r="I143" s="231"/>
      <c r="J143" s="232" t="s">
        <v>138</v>
      </c>
      <c r="K143" s="233"/>
      <c r="L143" s="234"/>
      <c r="M143" s="235" t="s">
        <v>245</v>
      </c>
      <c r="N143" s="233"/>
      <c r="O143" s="233"/>
      <c r="P143" s="233"/>
    </row>
    <row r="144" spans="2:26" ht="21.6" customHeight="1" x14ac:dyDescent="0.25">
      <c r="B144" s="110"/>
      <c r="H144" s="102"/>
      <c r="I144" s="231"/>
      <c r="J144" s="232" t="s">
        <v>139</v>
      </c>
      <c r="K144" s="233"/>
      <c r="L144" s="234"/>
      <c r="M144" s="235" t="s">
        <v>245</v>
      </c>
      <c r="N144" s="233"/>
      <c r="O144" s="233"/>
      <c r="P144" s="233"/>
    </row>
    <row r="145" spans="2:16" ht="21.6" customHeight="1" thickBot="1" x14ac:dyDescent="0.3">
      <c r="B145" s="200"/>
      <c r="C145" s="101"/>
      <c r="D145" s="101"/>
      <c r="E145" s="101"/>
      <c r="F145" s="101"/>
      <c r="G145" s="101"/>
      <c r="H145" s="100"/>
      <c r="I145" s="231"/>
      <c r="J145" s="232" t="s">
        <v>134</v>
      </c>
      <c r="K145" s="233"/>
      <c r="L145" s="234"/>
      <c r="M145" s="235" t="s">
        <v>247</v>
      </c>
      <c r="N145" s="233"/>
      <c r="O145" s="233"/>
      <c r="P145" s="233"/>
    </row>
    <row r="148" spans="2:16" customFormat="1" x14ac:dyDescent="0.25"/>
    <row r="149" spans="2:16" ht="36" customHeight="1" x14ac:dyDescent="0.25">
      <c r="B149" s="643" t="s">
        <v>634</v>
      </c>
      <c r="C149" s="643"/>
      <c r="D149" s="643"/>
      <c r="E149" s="643"/>
      <c r="F149" s="643"/>
      <c r="G149" s="643"/>
      <c r="H149" s="643"/>
      <c r="I149" s="643"/>
      <c r="J149" s="643"/>
      <c r="K149" s="643"/>
      <c r="L149" s="643"/>
      <c r="M149" s="643"/>
      <c r="N149" s="643"/>
      <c r="O149" s="643"/>
      <c r="P149" s="643"/>
    </row>
    <row r="150" spans="2:16" ht="31.15" customHeight="1" thickBot="1" x14ac:dyDescent="0.3">
      <c r="B150" s="652" t="s">
        <v>349</v>
      </c>
      <c r="C150" s="652"/>
      <c r="D150" s="652"/>
      <c r="E150" s="652"/>
      <c r="F150" s="652"/>
      <c r="G150" s="652"/>
      <c r="H150" s="652"/>
      <c r="I150" s="652"/>
      <c r="J150" s="652"/>
      <c r="K150" s="652"/>
      <c r="L150" s="652"/>
      <c r="M150" s="652"/>
      <c r="N150" s="652"/>
      <c r="O150" s="652"/>
      <c r="P150" s="652"/>
    </row>
    <row r="151" spans="2:16" ht="31.15" customHeight="1" x14ac:dyDescent="0.25">
      <c r="B151" s="236"/>
      <c r="C151" s="648" t="s">
        <v>250</v>
      </c>
      <c r="D151" s="236"/>
      <c r="E151" s="653" t="s">
        <v>255</v>
      </c>
      <c r="F151" s="654"/>
      <c r="G151" s="236"/>
      <c r="H151" s="653" t="s">
        <v>256</v>
      </c>
      <c r="I151" s="654"/>
      <c r="J151" s="236"/>
      <c r="K151" s="653" t="s">
        <v>257</v>
      </c>
      <c r="L151" s="654"/>
      <c r="M151" s="236"/>
      <c r="N151" s="653" t="s">
        <v>258</v>
      </c>
      <c r="O151" s="654"/>
      <c r="P151" s="237"/>
    </row>
    <row r="152" spans="2:16" ht="31.15" customHeight="1" x14ac:dyDescent="0.25">
      <c r="B152" s="236"/>
      <c r="C152" s="648"/>
      <c r="D152" s="236"/>
      <c r="E152" s="655"/>
      <c r="F152" s="656"/>
      <c r="G152" s="236"/>
      <c r="H152" s="655"/>
      <c r="I152" s="656"/>
      <c r="J152" s="236"/>
      <c r="K152" s="655"/>
      <c r="L152" s="656"/>
      <c r="M152" s="236"/>
      <c r="N152" s="655"/>
      <c r="O152" s="656"/>
      <c r="P152" s="237"/>
    </row>
    <row r="153" spans="2:16" ht="31.15" customHeight="1" thickBot="1" x14ac:dyDescent="0.3">
      <c r="B153" s="236"/>
      <c r="C153" s="648"/>
      <c r="D153" s="236"/>
      <c r="E153" s="657"/>
      <c r="F153" s="658"/>
      <c r="G153" s="236"/>
      <c r="H153" s="657"/>
      <c r="I153" s="658"/>
      <c r="J153" s="236"/>
      <c r="K153" s="657"/>
      <c r="L153" s="658"/>
      <c r="M153" s="236"/>
      <c r="N153" s="657"/>
      <c r="O153" s="658"/>
      <c r="P153" s="237"/>
    </row>
    <row r="154" spans="2:16" ht="31.15" customHeight="1" thickBot="1" x14ac:dyDescent="0.3">
      <c r="B154" s="237"/>
      <c r="C154" s="237"/>
      <c r="D154" s="237"/>
      <c r="E154" s="237"/>
      <c r="F154" s="237"/>
      <c r="G154" s="237"/>
      <c r="H154" s="237"/>
      <c r="I154" s="237"/>
      <c r="J154" s="237"/>
      <c r="K154" s="237"/>
      <c r="L154" s="237"/>
      <c r="M154" s="237"/>
      <c r="N154" s="237"/>
      <c r="O154" s="237"/>
      <c r="P154" s="237"/>
    </row>
    <row r="155" spans="2:16" ht="41.45" customHeight="1" thickBot="1" x14ac:dyDescent="0.3">
      <c r="B155" s="237"/>
      <c r="C155" s="648" t="s">
        <v>251</v>
      </c>
      <c r="D155" s="236"/>
      <c r="E155" s="649" t="s">
        <v>252</v>
      </c>
      <c r="F155" s="650"/>
      <c r="G155" s="650"/>
      <c r="H155" s="650"/>
      <c r="I155" s="650"/>
      <c r="J155" s="650"/>
      <c r="K155" s="650"/>
      <c r="L155" s="650"/>
      <c r="M155" s="650"/>
      <c r="N155" s="650"/>
      <c r="O155" s="651"/>
      <c r="P155" s="237"/>
    </row>
    <row r="156" spans="2:16" ht="41.45" customHeight="1" thickBot="1" x14ac:dyDescent="0.3">
      <c r="B156" s="237"/>
      <c r="C156" s="648"/>
      <c r="D156" s="236"/>
      <c r="E156" s="649" t="s">
        <v>621</v>
      </c>
      <c r="F156" s="650"/>
      <c r="G156" s="650"/>
      <c r="H156" s="650"/>
      <c r="I156" s="650"/>
      <c r="J156" s="650"/>
      <c r="K156" s="650"/>
      <c r="L156" s="650"/>
      <c r="M156" s="650"/>
      <c r="N156" s="650"/>
      <c r="O156" s="651"/>
      <c r="P156" s="237"/>
    </row>
    <row r="157" spans="2:16" ht="41.45" customHeight="1" thickBot="1" x14ac:dyDescent="0.3">
      <c r="B157" s="237"/>
      <c r="C157" s="648"/>
      <c r="D157" s="236"/>
      <c r="E157" s="649" t="s">
        <v>253</v>
      </c>
      <c r="F157" s="650"/>
      <c r="G157" s="650"/>
      <c r="H157" s="650"/>
      <c r="I157" s="650"/>
      <c r="J157" s="650"/>
      <c r="K157" s="650"/>
      <c r="L157" s="650"/>
      <c r="M157" s="650"/>
      <c r="N157" s="650"/>
      <c r="O157" s="651"/>
      <c r="P157" s="237"/>
    </row>
    <row r="158" spans="2:16" ht="41.45" customHeight="1" thickBot="1" x14ac:dyDescent="0.3">
      <c r="B158" s="237"/>
      <c r="C158" s="648"/>
      <c r="D158" s="237"/>
      <c r="E158" s="649" t="s">
        <v>253</v>
      </c>
      <c r="F158" s="650"/>
      <c r="G158" s="650"/>
      <c r="H158" s="650"/>
      <c r="I158" s="650"/>
      <c r="J158" s="650"/>
      <c r="K158" s="650"/>
      <c r="L158" s="650"/>
      <c r="M158" s="650"/>
      <c r="N158" s="650"/>
      <c r="O158" s="651"/>
      <c r="P158" s="237"/>
    </row>
    <row r="159" spans="2:16" ht="41.45" customHeight="1" thickBot="1" x14ac:dyDescent="0.3">
      <c r="B159" s="237"/>
      <c r="C159" s="648"/>
      <c r="D159" s="237"/>
      <c r="E159" s="649" t="s">
        <v>254</v>
      </c>
      <c r="F159" s="650"/>
      <c r="G159" s="650"/>
      <c r="H159" s="650"/>
      <c r="I159" s="650"/>
      <c r="J159" s="650"/>
      <c r="K159" s="650"/>
      <c r="L159" s="650"/>
      <c r="M159" s="650"/>
      <c r="N159" s="650"/>
      <c r="O159" s="651"/>
      <c r="P159" s="237"/>
    </row>
    <row r="160" spans="2:16" ht="31.15" customHeight="1" x14ac:dyDescent="0.3">
      <c r="B160" s="202"/>
      <c r="C160" s="202"/>
      <c r="D160" s="202"/>
      <c r="E160" s="158"/>
      <c r="F160" s="158"/>
      <c r="G160" s="202"/>
      <c r="H160" s="202"/>
      <c r="I160" s="202"/>
      <c r="J160" s="202"/>
      <c r="K160" s="202"/>
      <c r="L160" s="202"/>
      <c r="M160" s="202"/>
      <c r="N160" s="202"/>
      <c r="O160" s="202"/>
      <c r="P160" s="202"/>
    </row>
    <row r="161" spans="2:16" ht="31.15" customHeight="1" x14ac:dyDescent="0.3">
      <c r="B161" s="202"/>
      <c r="C161" s="202"/>
      <c r="D161" s="202"/>
      <c r="E161" s="158"/>
      <c r="F161" s="158"/>
      <c r="G161" s="202"/>
      <c r="H161" s="202"/>
      <c r="I161" s="202"/>
      <c r="J161" s="202"/>
      <c r="K161" s="202"/>
      <c r="L161" s="202"/>
      <c r="M161" s="202"/>
      <c r="N161" s="202"/>
      <c r="O161" s="202"/>
      <c r="P161" s="202"/>
    </row>
    <row r="162" spans="2:16" ht="21" customHeight="1" x14ac:dyDescent="0.25"/>
    <row r="163" spans="2:16" ht="21" customHeight="1" x14ac:dyDescent="0.25"/>
    <row r="164" spans="2:16" ht="21" customHeight="1" x14ac:dyDescent="0.25"/>
    <row r="165" spans="2:16" ht="21" customHeight="1" x14ac:dyDescent="0.25"/>
    <row r="166" spans="2:16" ht="21" customHeight="1" x14ac:dyDescent="0.25"/>
    <row r="167" spans="2:16" ht="21" customHeight="1" x14ac:dyDescent="0.25"/>
    <row r="168" spans="2:16" ht="21" customHeight="1" x14ac:dyDescent="0.25"/>
    <row r="169" spans="2:16" ht="21" customHeight="1" x14ac:dyDescent="0.25"/>
    <row r="170" spans="2:16" ht="21" customHeight="1" x14ac:dyDescent="0.25"/>
    <row r="171" spans="2:16" ht="21" customHeight="1" x14ac:dyDescent="0.25"/>
    <row r="172" spans="2:16" ht="21" customHeight="1" x14ac:dyDescent="0.25"/>
    <row r="173" spans="2:16" ht="21" customHeight="1" x14ac:dyDescent="0.25"/>
    <row r="174" spans="2:16" ht="21" customHeight="1" x14ac:dyDescent="0.25"/>
    <row r="175" spans="2:16" ht="21" customHeight="1" x14ac:dyDescent="0.25"/>
    <row r="176" spans="2:16" ht="21" customHeight="1" x14ac:dyDescent="0.25"/>
    <row r="177" ht="21" customHeight="1" x14ac:dyDescent="0.25"/>
    <row r="178" ht="21" customHeight="1" x14ac:dyDescent="0.25"/>
    <row r="179" ht="21" customHeight="1" x14ac:dyDescent="0.25"/>
    <row r="180" ht="21" customHeight="1" x14ac:dyDescent="0.25"/>
    <row r="181" ht="21" customHeight="1" x14ac:dyDescent="0.25"/>
    <row r="182" ht="21" customHeight="1" x14ac:dyDescent="0.25"/>
    <row r="183" ht="21" customHeight="1" x14ac:dyDescent="0.25"/>
    <row r="184" ht="21" customHeight="1" x14ac:dyDescent="0.25"/>
    <row r="185" ht="21" customHeight="1" x14ac:dyDescent="0.25"/>
    <row r="186" ht="21" customHeight="1" x14ac:dyDescent="0.25"/>
    <row r="187" ht="21" customHeight="1" x14ac:dyDescent="0.25"/>
    <row r="188" ht="21" customHeight="1" x14ac:dyDescent="0.25"/>
    <row r="189" ht="21" customHeight="1" x14ac:dyDescent="0.25"/>
    <row r="190" ht="21" customHeight="1" x14ac:dyDescent="0.25"/>
    <row r="191" ht="21" customHeight="1" x14ac:dyDescent="0.25"/>
    <row r="192" ht="21" customHeight="1" x14ac:dyDescent="0.25"/>
    <row r="193" spans="2:39" s="238" customFormat="1" ht="15.75" x14ac:dyDescent="0.25"/>
    <row r="194" spans="2:39" s="236" customFormat="1" ht="31.15" customHeight="1" x14ac:dyDescent="0.25">
      <c r="B194" s="643" t="s">
        <v>350</v>
      </c>
      <c r="C194" s="643"/>
      <c r="D194" s="643"/>
      <c r="E194" s="643"/>
      <c r="F194" s="643"/>
      <c r="G194" s="643"/>
      <c r="H194" s="643"/>
      <c r="I194" s="643"/>
      <c r="J194" s="643"/>
      <c r="K194" s="643"/>
      <c r="L194" s="643"/>
      <c r="M194" s="643"/>
      <c r="N194" s="643"/>
      <c r="O194" s="643"/>
      <c r="P194" s="643"/>
      <c r="Q194" s="238"/>
      <c r="R194" s="238"/>
      <c r="S194" s="238"/>
      <c r="T194" s="238"/>
      <c r="U194" s="238"/>
      <c r="V194" s="238"/>
      <c r="W194" s="238"/>
      <c r="X194" s="238"/>
      <c r="Y194" s="238"/>
      <c r="Z194" s="238"/>
      <c r="AA194" s="238"/>
      <c r="AB194" s="238"/>
      <c r="AC194" s="238"/>
      <c r="AD194" s="238"/>
      <c r="AE194" s="238"/>
      <c r="AF194" s="238"/>
      <c r="AG194" s="238"/>
      <c r="AH194" s="238"/>
      <c r="AI194" s="238"/>
      <c r="AJ194" s="238"/>
      <c r="AK194" s="238"/>
      <c r="AL194" s="238"/>
      <c r="AM194" s="238"/>
    </row>
    <row r="195" spans="2:39" s="236" customFormat="1" ht="31.15" customHeight="1" x14ac:dyDescent="0.25">
      <c r="B195" s="643" t="s">
        <v>635</v>
      </c>
      <c r="C195" s="643"/>
      <c r="D195" s="643"/>
      <c r="E195" s="643"/>
      <c r="F195" s="643"/>
      <c r="G195" s="643"/>
      <c r="H195" s="643"/>
      <c r="I195" s="643"/>
      <c r="J195" s="643"/>
      <c r="K195" s="643"/>
      <c r="L195" s="643"/>
      <c r="M195" s="643"/>
      <c r="N195" s="643"/>
      <c r="O195" s="643"/>
      <c r="P195" s="643"/>
      <c r="Q195" s="238"/>
      <c r="R195" s="238"/>
      <c r="S195" s="238"/>
      <c r="T195" s="238"/>
      <c r="U195" s="238"/>
      <c r="V195" s="238"/>
      <c r="W195" s="238"/>
      <c r="X195" s="238"/>
      <c r="Y195" s="238"/>
      <c r="Z195" s="238"/>
      <c r="AA195" s="238"/>
      <c r="AB195" s="238"/>
      <c r="AC195" s="238"/>
      <c r="AD195" s="238"/>
      <c r="AE195" s="238"/>
      <c r="AF195" s="238"/>
      <c r="AG195" s="238"/>
      <c r="AH195" s="238"/>
      <c r="AI195" s="238"/>
      <c r="AJ195" s="238"/>
      <c r="AK195" s="238"/>
      <c r="AL195" s="238"/>
      <c r="AM195" s="238"/>
    </row>
    <row r="196" spans="2:39" s="236" customFormat="1" ht="31.15" customHeight="1" x14ac:dyDescent="0.25">
      <c r="B196" s="643" t="s">
        <v>351</v>
      </c>
      <c r="C196" s="643"/>
      <c r="D196" s="643"/>
      <c r="E196" s="643"/>
      <c r="F196" s="643"/>
      <c r="G196" s="643"/>
      <c r="H196" s="643"/>
      <c r="I196" s="643"/>
      <c r="J196" s="643"/>
      <c r="K196" s="643"/>
      <c r="L196" s="643"/>
      <c r="M196" s="643"/>
      <c r="N196" s="643"/>
      <c r="O196" s="643"/>
      <c r="P196" s="643"/>
      <c r="Q196" s="238"/>
      <c r="R196" s="238"/>
      <c r="S196" s="238"/>
      <c r="T196" s="238"/>
      <c r="U196" s="238"/>
      <c r="V196" s="238"/>
      <c r="W196" s="238"/>
      <c r="X196" s="238"/>
      <c r="Y196" s="238"/>
      <c r="Z196" s="238"/>
      <c r="AA196" s="238"/>
      <c r="AB196" s="238"/>
      <c r="AC196" s="238"/>
      <c r="AD196" s="238"/>
      <c r="AE196" s="238"/>
      <c r="AF196" s="238"/>
      <c r="AG196" s="238"/>
      <c r="AH196" s="238"/>
      <c r="AI196" s="238"/>
      <c r="AJ196" s="238"/>
      <c r="AK196" s="238"/>
      <c r="AL196" s="238"/>
      <c r="AM196" s="238"/>
    </row>
    <row r="197" spans="2:39" s="236" customFormat="1" ht="31.15" customHeight="1" x14ac:dyDescent="0.25">
      <c r="B197" s="643" t="s">
        <v>352</v>
      </c>
      <c r="C197" s="643"/>
      <c r="D197" s="643"/>
      <c r="E197" s="643"/>
      <c r="F197" s="643"/>
      <c r="G197" s="643"/>
      <c r="H197" s="643"/>
      <c r="I197" s="643"/>
      <c r="J197" s="643"/>
      <c r="K197" s="643"/>
      <c r="L197" s="643"/>
      <c r="M197" s="643"/>
      <c r="N197" s="643"/>
      <c r="O197" s="643"/>
      <c r="P197" s="643"/>
      <c r="Q197" s="238"/>
      <c r="R197" s="238"/>
      <c r="S197" s="238"/>
      <c r="T197" s="238"/>
      <c r="U197" s="238"/>
      <c r="V197" s="238"/>
      <c r="W197" s="238"/>
      <c r="X197" s="238"/>
      <c r="Y197" s="238"/>
      <c r="Z197" s="238"/>
      <c r="AA197" s="238"/>
      <c r="AB197" s="238"/>
      <c r="AC197" s="238"/>
      <c r="AD197" s="238"/>
      <c r="AE197" s="238"/>
      <c r="AF197" s="238"/>
      <c r="AG197" s="238"/>
      <c r="AH197" s="238"/>
      <c r="AI197" s="238"/>
      <c r="AJ197" s="238"/>
      <c r="AK197" s="238"/>
      <c r="AL197" s="238"/>
      <c r="AM197" s="238"/>
    </row>
    <row r="198" spans="2:39" s="236" customFormat="1" ht="21" customHeight="1" x14ac:dyDescent="0.25">
      <c r="Q198" s="238"/>
      <c r="R198" s="238"/>
      <c r="S198" s="238"/>
      <c r="T198" s="238"/>
      <c r="U198" s="238"/>
      <c r="V198" s="238"/>
      <c r="W198" s="238"/>
      <c r="X198" s="238"/>
      <c r="Y198" s="238"/>
      <c r="Z198" s="238"/>
      <c r="AA198" s="238"/>
      <c r="AB198" s="238"/>
      <c r="AC198" s="238"/>
      <c r="AD198" s="238"/>
      <c r="AE198" s="238"/>
      <c r="AF198" s="238"/>
      <c r="AG198" s="238"/>
      <c r="AH198" s="238"/>
      <c r="AI198" s="238"/>
      <c r="AJ198" s="238"/>
      <c r="AK198" s="238"/>
      <c r="AL198" s="238"/>
      <c r="AM198" s="238"/>
    </row>
    <row r="199" spans="2:39" s="238" customFormat="1" ht="15.75" x14ac:dyDescent="0.25"/>
    <row r="200" spans="2:39" s="236" customFormat="1" ht="21" customHeight="1" thickBot="1" x14ac:dyDescent="0.45">
      <c r="B200" s="644" t="s">
        <v>159</v>
      </c>
      <c r="C200" s="645"/>
      <c r="D200" s="645"/>
      <c r="E200" s="645"/>
      <c r="F200" s="645"/>
      <c r="G200" s="645"/>
      <c r="H200" s="645"/>
      <c r="I200" s="645"/>
      <c r="J200" s="645"/>
      <c r="L200" s="646" t="s">
        <v>167</v>
      </c>
      <c r="M200" s="647"/>
      <c r="N200" s="647"/>
      <c r="O200" s="647"/>
      <c r="Q200" s="238"/>
      <c r="R200" s="238"/>
      <c r="S200" s="238"/>
      <c r="T200" s="238"/>
      <c r="U200" s="238"/>
      <c r="V200" s="238"/>
      <c r="W200" s="238"/>
      <c r="X200" s="238"/>
      <c r="Y200" s="238"/>
      <c r="Z200" s="238"/>
      <c r="AA200" s="238"/>
      <c r="AB200" s="238"/>
      <c r="AC200" s="238"/>
      <c r="AD200" s="238"/>
      <c r="AE200" s="238"/>
      <c r="AF200" s="238"/>
      <c r="AG200" s="238"/>
      <c r="AH200" s="238"/>
      <c r="AI200" s="238"/>
      <c r="AJ200" s="238"/>
      <c r="AK200" s="238"/>
      <c r="AL200" s="238"/>
      <c r="AM200" s="238"/>
    </row>
    <row r="201" spans="2:39" s="236" customFormat="1" ht="21" customHeight="1" thickTop="1" thickBot="1" x14ac:dyDescent="0.3">
      <c r="B201" s="594" t="s">
        <v>20</v>
      </c>
      <c r="C201" s="595"/>
      <c r="D201" s="596"/>
      <c r="E201" s="597" t="s">
        <v>260</v>
      </c>
      <c r="F201" s="597"/>
      <c r="G201" s="598" t="s">
        <v>639</v>
      </c>
      <c r="H201" s="597"/>
      <c r="I201" s="598" t="s">
        <v>157</v>
      </c>
      <c r="J201" s="597"/>
      <c r="L201" s="599" t="s">
        <v>20</v>
      </c>
      <c r="M201" s="600"/>
      <c r="N201" s="601"/>
      <c r="O201" s="602" t="s">
        <v>259</v>
      </c>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row>
    <row r="202" spans="2:39" s="236" customFormat="1" ht="21" customHeight="1" thickBot="1" x14ac:dyDescent="0.3">
      <c r="B202" s="603" t="s">
        <v>148</v>
      </c>
      <c r="C202" s="604"/>
      <c r="D202" s="605"/>
      <c r="E202" s="606">
        <v>79.12</v>
      </c>
      <c r="F202" s="606"/>
      <c r="G202" s="606">
        <v>74.02</v>
      </c>
      <c r="H202" s="606"/>
      <c r="I202" s="606">
        <v>65.63</v>
      </c>
      <c r="J202" s="606"/>
      <c r="L202" s="607" t="s">
        <v>160</v>
      </c>
      <c r="M202" s="608"/>
      <c r="N202" s="609"/>
      <c r="O202" s="609">
        <v>0.38</v>
      </c>
      <c r="Q202" s="238"/>
      <c r="R202" s="238"/>
      <c r="S202" s="238"/>
      <c r="T202" s="238"/>
      <c r="U202" s="238"/>
      <c r="V202" s="238"/>
      <c r="W202" s="238"/>
      <c r="X202" s="238"/>
      <c r="Y202" s="238"/>
      <c r="Z202" s="238"/>
      <c r="AA202" s="238"/>
      <c r="AB202" s="238"/>
      <c r="AC202" s="238"/>
      <c r="AD202" s="238"/>
      <c r="AE202" s="238"/>
      <c r="AF202" s="238"/>
      <c r="AG202" s="238"/>
      <c r="AH202" s="238"/>
      <c r="AI202" s="238"/>
      <c r="AJ202" s="238"/>
      <c r="AK202" s="238"/>
      <c r="AL202" s="238"/>
      <c r="AM202" s="238"/>
    </row>
    <row r="203" spans="2:39" s="236" customFormat="1" ht="21" customHeight="1" thickBot="1" x14ac:dyDescent="0.3">
      <c r="B203" s="603" t="s">
        <v>149</v>
      </c>
      <c r="C203" s="604"/>
      <c r="D203" s="605"/>
      <c r="E203" s="606">
        <v>86.54</v>
      </c>
      <c r="F203" s="606"/>
      <c r="G203" s="606">
        <v>82.12</v>
      </c>
      <c r="H203" s="606"/>
      <c r="I203" s="606">
        <v>73.400000000000006</v>
      </c>
      <c r="J203" s="606"/>
      <c r="L203" s="607" t="s">
        <v>161</v>
      </c>
      <c r="M203" s="608"/>
      <c r="N203" s="609"/>
      <c r="O203" s="610">
        <v>0.21390000000000001</v>
      </c>
      <c r="Q203" s="238"/>
      <c r="R203" s="238"/>
      <c r="S203" s="238"/>
      <c r="T203" s="238"/>
      <c r="U203" s="238"/>
      <c r="V203" s="238"/>
      <c r="W203" s="238"/>
      <c r="X203" s="238"/>
      <c r="Y203" s="238"/>
      <c r="Z203" s="238"/>
      <c r="AA203" s="238"/>
      <c r="AB203" s="238"/>
      <c r="AC203" s="238"/>
      <c r="AD203" s="238"/>
      <c r="AE203" s="238"/>
      <c r="AF203" s="238"/>
      <c r="AG203" s="238"/>
      <c r="AH203" s="238"/>
      <c r="AI203" s="238"/>
      <c r="AJ203" s="238"/>
      <c r="AK203" s="238"/>
      <c r="AL203" s="238"/>
      <c r="AM203" s="238"/>
    </row>
    <row r="204" spans="2:39" s="236" customFormat="1" ht="21" customHeight="1" thickBot="1" x14ac:dyDescent="0.3">
      <c r="B204" s="603" t="s">
        <v>150</v>
      </c>
      <c r="C204" s="604"/>
      <c r="D204" s="605"/>
      <c r="E204" s="606">
        <v>27.78</v>
      </c>
      <c r="F204" s="606"/>
      <c r="G204" s="606">
        <v>32.51</v>
      </c>
      <c r="H204" s="606"/>
      <c r="I204" s="606">
        <v>41.73</v>
      </c>
      <c r="J204" s="606"/>
      <c r="L204" s="607" t="s">
        <v>162</v>
      </c>
      <c r="M204" s="608"/>
      <c r="N204" s="609"/>
      <c r="O204" s="610">
        <v>0.22489999999999999</v>
      </c>
      <c r="Q204" s="238"/>
      <c r="R204" s="238"/>
      <c r="S204" s="238"/>
      <c r="T204" s="238"/>
      <c r="U204" s="238"/>
      <c r="V204" s="238"/>
      <c r="W204" s="238"/>
      <c r="X204" s="238"/>
      <c r="Y204" s="238"/>
      <c r="Z204" s="238"/>
      <c r="AA204" s="238"/>
      <c r="AB204" s="238"/>
      <c r="AC204" s="238"/>
      <c r="AD204" s="238"/>
      <c r="AE204" s="238"/>
      <c r="AF204" s="238"/>
      <c r="AG204" s="238"/>
      <c r="AH204" s="238"/>
      <c r="AI204" s="238"/>
      <c r="AJ204" s="238"/>
      <c r="AK204" s="238"/>
      <c r="AL204" s="238"/>
      <c r="AM204" s="238"/>
    </row>
    <row r="205" spans="2:39" s="236" customFormat="1" ht="21" customHeight="1" thickBot="1" x14ac:dyDescent="0.3">
      <c r="B205" s="603" t="s">
        <v>151</v>
      </c>
      <c r="C205" s="604"/>
      <c r="D205" s="605"/>
      <c r="E205" s="606">
        <v>26.11</v>
      </c>
      <c r="F205" s="606"/>
      <c r="G205" s="606">
        <v>25.71</v>
      </c>
      <c r="H205" s="606"/>
      <c r="I205" s="606">
        <v>23.09</v>
      </c>
      <c r="J205" s="606"/>
      <c r="L205" s="607" t="s">
        <v>163</v>
      </c>
      <c r="M205" s="608"/>
      <c r="N205" s="609"/>
      <c r="O205" s="609">
        <v>95.59</v>
      </c>
      <c r="Q205" s="238"/>
      <c r="R205" s="238"/>
      <c r="S205" s="238"/>
      <c r="T205" s="238"/>
      <c r="U205" s="238"/>
      <c r="V205" s="238"/>
      <c r="W205" s="238"/>
      <c r="X205" s="238"/>
      <c r="Y205" s="238"/>
      <c r="Z205" s="238"/>
      <c r="AA205" s="238"/>
      <c r="AB205" s="238"/>
      <c r="AC205" s="238"/>
      <c r="AD205" s="238"/>
      <c r="AE205" s="238"/>
      <c r="AF205" s="238"/>
      <c r="AG205" s="238"/>
      <c r="AH205" s="238"/>
      <c r="AI205" s="238"/>
      <c r="AJ205" s="238"/>
      <c r="AK205" s="238"/>
      <c r="AL205" s="238"/>
      <c r="AM205" s="238"/>
    </row>
    <row r="206" spans="2:39" s="236" customFormat="1" ht="21" customHeight="1" thickBot="1" x14ac:dyDescent="0.3">
      <c r="B206" s="603" t="s">
        <v>152</v>
      </c>
      <c r="C206" s="604"/>
      <c r="D206" s="605"/>
      <c r="E206" s="606">
        <v>2.27</v>
      </c>
      <c r="F206" s="606"/>
      <c r="G206" s="606">
        <v>2.2599999999999998</v>
      </c>
      <c r="H206" s="606"/>
      <c r="I206" s="606">
        <v>1.47</v>
      </c>
      <c r="J206" s="606"/>
      <c r="L206" s="607" t="s">
        <v>164</v>
      </c>
      <c r="M206" s="608"/>
      <c r="N206" s="609"/>
      <c r="O206" s="609">
        <v>67.62</v>
      </c>
      <c r="Q206" s="238"/>
      <c r="R206" s="238"/>
      <c r="S206" s="238"/>
      <c r="T206" s="238"/>
      <c r="U206" s="238"/>
      <c r="V206" s="238"/>
      <c r="W206" s="238"/>
      <c r="X206" s="238"/>
      <c r="Y206" s="238"/>
      <c r="Z206" s="238"/>
      <c r="AA206" s="238"/>
      <c r="AB206" s="238"/>
      <c r="AC206" s="238"/>
      <c r="AD206" s="238"/>
      <c r="AE206" s="238"/>
      <c r="AF206" s="238"/>
      <c r="AG206" s="238"/>
      <c r="AH206" s="238"/>
      <c r="AI206" s="238"/>
      <c r="AJ206" s="238"/>
      <c r="AK206" s="238"/>
      <c r="AL206" s="238"/>
      <c r="AM206" s="238"/>
    </row>
    <row r="207" spans="2:39" s="236" customFormat="1" ht="21" customHeight="1" thickBot="1" x14ac:dyDescent="0.3">
      <c r="B207" s="603" t="s">
        <v>153</v>
      </c>
      <c r="C207" s="604"/>
      <c r="D207" s="605"/>
      <c r="E207" s="606">
        <v>3.99</v>
      </c>
      <c r="F207" s="606"/>
      <c r="G207" s="606">
        <v>3.84</v>
      </c>
      <c r="H207" s="606"/>
      <c r="I207" s="606">
        <v>3.46</v>
      </c>
      <c r="J207" s="606"/>
      <c r="L207" s="607" t="s">
        <v>165</v>
      </c>
      <c r="M207" s="608"/>
      <c r="N207" s="609"/>
      <c r="O207" s="609">
        <v>91.32</v>
      </c>
      <c r="Q207" s="238"/>
      <c r="R207" s="238"/>
      <c r="S207" s="238"/>
      <c r="T207" s="238"/>
      <c r="U207" s="238"/>
      <c r="V207" s="238"/>
      <c r="W207" s="238"/>
      <c r="X207" s="238"/>
      <c r="Y207" s="238"/>
      <c r="Z207" s="238"/>
      <c r="AA207" s="238"/>
      <c r="AB207" s="238"/>
      <c r="AC207" s="238"/>
      <c r="AD207" s="238"/>
      <c r="AE207" s="238"/>
      <c r="AF207" s="238"/>
      <c r="AG207" s="238"/>
      <c r="AH207" s="238"/>
      <c r="AI207" s="238"/>
      <c r="AJ207" s="238"/>
      <c r="AK207" s="238"/>
      <c r="AL207" s="238"/>
      <c r="AM207" s="238"/>
    </row>
    <row r="208" spans="2:39" s="236" customFormat="1" ht="21" customHeight="1" thickBot="1" x14ac:dyDescent="0.3">
      <c r="B208" s="603" t="s">
        <v>154</v>
      </c>
      <c r="C208" s="604"/>
      <c r="D208" s="605"/>
      <c r="E208" s="606">
        <v>373.23</v>
      </c>
      <c r="F208" s="606"/>
      <c r="G208" s="606">
        <v>121.31</v>
      </c>
      <c r="H208" s="606"/>
      <c r="I208" s="606" t="s">
        <v>158</v>
      </c>
      <c r="J208" s="606"/>
      <c r="L208" s="607" t="s">
        <v>166</v>
      </c>
      <c r="M208" s="608"/>
      <c r="N208" s="609"/>
      <c r="O208" s="609">
        <v>81.99</v>
      </c>
      <c r="Q208" s="238"/>
      <c r="R208" s="238"/>
      <c r="S208" s="238"/>
      <c r="T208" s="238"/>
      <c r="U208" s="238"/>
      <c r="V208" s="238"/>
      <c r="W208" s="238"/>
      <c r="X208" s="238"/>
      <c r="Y208" s="238"/>
      <c r="Z208" s="238"/>
      <c r="AA208" s="238"/>
      <c r="AB208" s="238"/>
      <c r="AC208" s="238"/>
      <c r="AD208" s="238"/>
      <c r="AE208" s="238"/>
      <c r="AF208" s="238"/>
      <c r="AG208" s="238"/>
      <c r="AH208" s="238"/>
      <c r="AI208" s="238"/>
      <c r="AJ208" s="238"/>
      <c r="AK208" s="238"/>
      <c r="AL208" s="238"/>
      <c r="AM208" s="238"/>
    </row>
    <row r="209" spans="2:39" s="236" customFormat="1" ht="21" customHeight="1" thickBot="1" x14ac:dyDescent="0.3">
      <c r="B209" s="603" t="s">
        <v>155</v>
      </c>
      <c r="C209" s="604"/>
      <c r="D209" s="605"/>
      <c r="E209" s="606">
        <v>4.3099999999999996</v>
      </c>
      <c r="F209" s="606"/>
      <c r="G209" s="606">
        <v>4.22</v>
      </c>
      <c r="H209" s="606"/>
      <c r="I209" s="606">
        <v>3.84</v>
      </c>
      <c r="J209" s="606"/>
      <c r="Q209" s="238"/>
      <c r="R209" s="238"/>
      <c r="S209" s="238"/>
      <c r="T209" s="238"/>
      <c r="U209" s="238"/>
      <c r="V209" s="238"/>
      <c r="W209" s="238"/>
      <c r="X209" s="238"/>
      <c r="Y209" s="238"/>
      <c r="Z209" s="238"/>
      <c r="AA209" s="238"/>
      <c r="AB209" s="238"/>
      <c r="AC209" s="238"/>
      <c r="AD209" s="238"/>
      <c r="AE209" s="238"/>
      <c r="AF209" s="238"/>
      <c r="AG209" s="238"/>
      <c r="AH209" s="238"/>
      <c r="AI209" s="238"/>
      <c r="AJ209" s="238"/>
      <c r="AK209" s="238"/>
      <c r="AL209" s="238"/>
      <c r="AM209" s="238"/>
    </row>
    <row r="210" spans="2:39" s="236" customFormat="1" ht="21" customHeight="1" thickBot="1" x14ac:dyDescent="0.3">
      <c r="B210" s="603" t="s">
        <v>156</v>
      </c>
      <c r="C210" s="604"/>
      <c r="D210" s="605"/>
      <c r="E210" s="606">
        <v>17.829999999999998</v>
      </c>
      <c r="F210" s="606"/>
      <c r="G210" s="606">
        <v>19.34</v>
      </c>
      <c r="H210" s="606"/>
      <c r="I210" s="606">
        <v>20.39</v>
      </c>
      <c r="J210" s="606"/>
      <c r="Q210" s="238"/>
      <c r="R210" s="238"/>
      <c r="S210" s="238"/>
      <c r="T210" s="238"/>
      <c r="U210" s="238"/>
      <c r="V210" s="238"/>
      <c r="W210" s="238"/>
      <c r="X210" s="238"/>
      <c r="Y210" s="238"/>
      <c r="Z210" s="238"/>
      <c r="AA210" s="238"/>
      <c r="AB210" s="238"/>
      <c r="AC210" s="238"/>
      <c r="AD210" s="238"/>
      <c r="AE210" s="238"/>
      <c r="AF210" s="238"/>
      <c r="AG210" s="238"/>
      <c r="AH210" s="238"/>
      <c r="AI210" s="238"/>
      <c r="AJ210" s="238"/>
      <c r="AK210" s="238"/>
      <c r="AL210" s="238"/>
      <c r="AM210" s="238"/>
    </row>
    <row r="211" spans="2:39" s="236" customFormat="1" ht="21" customHeight="1" x14ac:dyDescent="0.25">
      <c r="Q211" s="238"/>
      <c r="R211" s="238"/>
      <c r="S211" s="238"/>
      <c r="T211" s="238"/>
      <c r="U211" s="238"/>
      <c r="V211" s="238"/>
      <c r="W211" s="238"/>
      <c r="X211" s="238"/>
      <c r="Y211" s="238"/>
      <c r="Z211" s="238"/>
      <c r="AA211" s="238"/>
      <c r="AB211" s="238"/>
      <c r="AC211" s="238"/>
      <c r="AD211" s="238"/>
      <c r="AE211" s="238"/>
      <c r="AF211" s="238"/>
      <c r="AG211" s="238"/>
      <c r="AH211" s="238"/>
      <c r="AI211" s="238"/>
      <c r="AJ211" s="238"/>
      <c r="AK211" s="238"/>
      <c r="AL211" s="238"/>
      <c r="AM211" s="238"/>
    </row>
    <row r="212" spans="2:39" s="236" customFormat="1" ht="21" customHeight="1" thickBot="1" x14ac:dyDescent="0.45">
      <c r="B212" s="239" t="s">
        <v>353</v>
      </c>
      <c r="C212" s="240"/>
      <c r="D212" s="240"/>
      <c r="E212" s="240"/>
      <c r="F212" s="240"/>
      <c r="G212" s="240"/>
      <c r="H212" s="240"/>
      <c r="I212" s="240"/>
      <c r="J212" s="240"/>
      <c r="K212" s="240"/>
      <c r="L212" s="240"/>
      <c r="M212" s="240"/>
      <c r="N212" s="240"/>
      <c r="O212" s="240"/>
      <c r="Q212" s="238"/>
      <c r="R212" s="238"/>
      <c r="S212" s="238"/>
      <c r="T212" s="238"/>
      <c r="U212" s="238"/>
      <c r="V212" s="238"/>
      <c r="W212" s="238"/>
      <c r="X212" s="238"/>
      <c r="Y212" s="238"/>
      <c r="Z212" s="238"/>
      <c r="AA212" s="238"/>
      <c r="AB212" s="238"/>
      <c r="AC212" s="238"/>
      <c r="AD212" s="238"/>
      <c r="AE212" s="238"/>
      <c r="AF212" s="238"/>
      <c r="AG212" s="238"/>
      <c r="AH212" s="238"/>
      <c r="AI212" s="238"/>
      <c r="AJ212" s="238"/>
      <c r="AK212" s="238"/>
      <c r="AL212" s="238"/>
      <c r="AM212" s="238"/>
    </row>
    <row r="213" spans="2:39" s="236" customFormat="1" ht="21" customHeight="1" thickBot="1" x14ac:dyDescent="0.3">
      <c r="B213" s="603" t="s">
        <v>20</v>
      </c>
      <c r="C213" s="611"/>
      <c r="D213" s="606"/>
      <c r="E213" s="609" t="s">
        <v>44</v>
      </c>
      <c r="F213" s="612" t="s">
        <v>176</v>
      </c>
      <c r="G213" s="612"/>
      <c r="H213" s="612" t="s">
        <v>181</v>
      </c>
      <c r="I213" s="612"/>
      <c r="J213" s="612" t="s">
        <v>177</v>
      </c>
      <c r="K213" s="612"/>
      <c r="L213" s="612" t="s">
        <v>178</v>
      </c>
      <c r="M213" s="612"/>
      <c r="N213" s="612" t="s">
        <v>179</v>
      </c>
      <c r="O213" s="612"/>
      <c r="Q213" s="238"/>
      <c r="R213" s="238"/>
      <c r="S213" s="238"/>
      <c r="T213" s="238"/>
      <c r="U213" s="238"/>
      <c r="V213" s="238"/>
      <c r="W213" s="238"/>
      <c r="X213" s="238"/>
      <c r="Y213" s="238"/>
      <c r="Z213" s="238"/>
      <c r="AA213" s="238"/>
      <c r="AB213" s="238"/>
      <c r="AC213" s="238"/>
      <c r="AD213" s="238"/>
      <c r="AE213" s="238"/>
      <c r="AF213" s="238"/>
      <c r="AG213" s="238"/>
      <c r="AH213" s="238"/>
      <c r="AI213" s="238"/>
      <c r="AJ213" s="238"/>
      <c r="AK213" s="238"/>
      <c r="AL213" s="238"/>
      <c r="AM213" s="238"/>
    </row>
    <row r="214" spans="2:39" s="236" customFormat="1" ht="21" customHeight="1" thickBot="1" x14ac:dyDescent="0.3">
      <c r="B214" s="603" t="s">
        <v>173</v>
      </c>
      <c r="C214" s="611"/>
      <c r="D214" s="606"/>
      <c r="E214" s="609" t="s">
        <v>48</v>
      </c>
      <c r="F214" s="612">
        <f>E202</f>
        <v>79.12</v>
      </c>
      <c r="G214" s="612"/>
      <c r="H214" s="612">
        <f>E203</f>
        <v>86.54</v>
      </c>
      <c r="I214" s="612"/>
      <c r="J214" s="612">
        <f>E204</f>
        <v>27.78</v>
      </c>
      <c r="K214" s="612"/>
      <c r="L214" s="612">
        <f>E207</f>
        <v>3.99</v>
      </c>
      <c r="M214" s="612"/>
      <c r="N214" s="612">
        <f>E210</f>
        <v>17.829999999999998</v>
      </c>
      <c r="O214" s="612"/>
      <c r="Q214" s="238"/>
      <c r="R214" s="238"/>
      <c r="S214" s="238"/>
      <c r="T214" s="238"/>
      <c r="U214" s="238"/>
      <c r="V214" s="238"/>
      <c r="W214" s="238"/>
      <c r="X214" s="238"/>
      <c r="Y214" s="238"/>
      <c r="Z214" s="238"/>
      <c r="AA214" s="238"/>
      <c r="AB214" s="238"/>
      <c r="AC214" s="238"/>
      <c r="AD214" s="238"/>
      <c r="AE214" s="238"/>
      <c r="AF214" s="238"/>
      <c r="AG214" s="238"/>
      <c r="AH214" s="238"/>
      <c r="AI214" s="238"/>
      <c r="AJ214" s="238"/>
      <c r="AK214" s="238"/>
      <c r="AL214" s="238"/>
      <c r="AM214" s="238"/>
    </row>
    <row r="215" spans="2:39" s="236" customFormat="1" ht="21" customHeight="1" thickBot="1" x14ac:dyDescent="0.3">
      <c r="B215" s="603" t="s">
        <v>174</v>
      </c>
      <c r="C215" s="611"/>
      <c r="D215" s="606"/>
      <c r="E215" s="609" t="s">
        <v>170</v>
      </c>
      <c r="F215" s="612">
        <v>405.94</v>
      </c>
      <c r="G215" s="612"/>
      <c r="H215" s="612">
        <v>431.19</v>
      </c>
      <c r="I215" s="612"/>
      <c r="J215" s="612">
        <v>27.57</v>
      </c>
      <c r="K215" s="612"/>
      <c r="L215" s="612">
        <v>5.0599999999999996</v>
      </c>
      <c r="M215" s="612"/>
      <c r="N215" s="612">
        <v>18.52</v>
      </c>
      <c r="O215" s="612"/>
      <c r="Q215" s="238"/>
      <c r="R215" s="238"/>
      <c r="S215" s="238"/>
      <c r="T215" s="238"/>
      <c r="U215" s="238"/>
      <c r="V215" s="238"/>
      <c r="W215" s="238"/>
      <c r="X215" s="238"/>
      <c r="Y215" s="238"/>
      <c r="Z215" s="238"/>
      <c r="AA215" s="238"/>
      <c r="AB215" s="238"/>
      <c r="AC215" s="238"/>
      <c r="AD215" s="238"/>
      <c r="AE215" s="238"/>
      <c r="AF215" s="238"/>
      <c r="AG215" s="238"/>
      <c r="AH215" s="238"/>
      <c r="AI215" s="238"/>
      <c r="AJ215" s="238"/>
      <c r="AK215" s="238"/>
      <c r="AL215" s="238"/>
      <c r="AM215" s="238"/>
    </row>
    <row r="216" spans="2:39" s="236" customFormat="1" ht="21" customHeight="1" thickBot="1" x14ac:dyDescent="0.3">
      <c r="B216" s="603" t="s">
        <v>175</v>
      </c>
      <c r="C216" s="611"/>
      <c r="D216" s="606"/>
      <c r="E216" s="609" t="s">
        <v>171</v>
      </c>
      <c r="F216" s="612">
        <v>47.79</v>
      </c>
      <c r="G216" s="612"/>
      <c r="H216" s="612">
        <v>54.34</v>
      </c>
      <c r="I216" s="612"/>
      <c r="J216" s="612">
        <v>19.079999999999998</v>
      </c>
      <c r="K216" s="612"/>
      <c r="L216" s="612">
        <v>2.42</v>
      </c>
      <c r="M216" s="612"/>
      <c r="N216" s="612">
        <v>13.66</v>
      </c>
      <c r="O216" s="612"/>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row>
    <row r="217" spans="2:39" s="236" customFormat="1" ht="21" customHeight="1" thickBot="1" x14ac:dyDescent="0.3">
      <c r="B217" s="614" t="s">
        <v>640</v>
      </c>
      <c r="C217" s="611"/>
      <c r="D217" s="606"/>
      <c r="E217" s="609" t="s">
        <v>172</v>
      </c>
      <c r="F217" s="612">
        <v>18.29</v>
      </c>
      <c r="G217" s="612"/>
      <c r="H217" s="612">
        <v>21.09</v>
      </c>
      <c r="I217" s="612"/>
      <c r="J217" s="612">
        <v>40.44</v>
      </c>
      <c r="K217" s="612"/>
      <c r="L217" s="612">
        <v>2.59</v>
      </c>
      <c r="M217" s="612"/>
      <c r="N217" s="612">
        <v>22.03</v>
      </c>
      <c r="O217" s="612"/>
      <c r="Q217" s="238"/>
      <c r="R217" s="238"/>
      <c r="S217" s="238"/>
      <c r="T217" s="238"/>
      <c r="U217" s="238"/>
      <c r="V217" s="238"/>
      <c r="W217" s="238"/>
      <c r="X217" s="238"/>
      <c r="Y217" s="238"/>
      <c r="Z217" s="238"/>
      <c r="AA217" s="238"/>
      <c r="AB217" s="238"/>
      <c r="AC217" s="238"/>
      <c r="AD217" s="238"/>
      <c r="AE217" s="238"/>
      <c r="AF217" s="238"/>
      <c r="AG217" s="238"/>
      <c r="AH217" s="238"/>
      <c r="AI217" s="238"/>
      <c r="AJ217" s="238"/>
      <c r="AK217" s="238"/>
      <c r="AL217" s="238"/>
      <c r="AM217" s="238"/>
    </row>
    <row r="218" spans="2:39" s="236" customFormat="1" ht="15.75" x14ac:dyDescent="0.25">
      <c r="B218" s="241"/>
      <c r="C218" s="238"/>
      <c r="D218" s="238"/>
      <c r="E218" s="238"/>
      <c r="F218" s="238"/>
      <c r="G218" s="238"/>
      <c r="H218" s="238"/>
      <c r="Q218" s="238"/>
      <c r="R218" s="238"/>
      <c r="S218" s="238"/>
      <c r="T218" s="238"/>
      <c r="U218" s="238"/>
      <c r="V218" s="238"/>
      <c r="W218" s="238"/>
      <c r="X218" s="238"/>
      <c r="Y218" s="238"/>
      <c r="Z218" s="238"/>
      <c r="AA218" s="238"/>
      <c r="AB218" s="238"/>
      <c r="AC218" s="238"/>
      <c r="AD218" s="238"/>
      <c r="AE218" s="238"/>
      <c r="AF218" s="238"/>
      <c r="AG218" s="238"/>
      <c r="AH218" s="238"/>
      <c r="AI218" s="238"/>
      <c r="AJ218" s="238"/>
      <c r="AK218" s="238"/>
      <c r="AL218" s="238"/>
      <c r="AM218" s="238"/>
    </row>
    <row r="219" spans="2:39" s="236" customFormat="1" ht="15.75" x14ac:dyDescent="0.25">
      <c r="B219" s="241"/>
      <c r="C219" s="238"/>
      <c r="D219" s="238"/>
      <c r="E219" s="238"/>
      <c r="F219" s="238"/>
      <c r="G219" s="238"/>
      <c r="H219" s="238"/>
      <c r="Q219" s="238"/>
      <c r="R219" s="238"/>
      <c r="S219" s="238"/>
      <c r="T219" s="238"/>
      <c r="U219" s="238"/>
      <c r="V219" s="238"/>
      <c r="W219" s="238"/>
      <c r="X219" s="238"/>
      <c r="Y219" s="238"/>
      <c r="Z219" s="238"/>
      <c r="AA219" s="238"/>
      <c r="AB219" s="238"/>
      <c r="AC219" s="238"/>
      <c r="AD219" s="238"/>
      <c r="AE219" s="238"/>
      <c r="AF219" s="238"/>
      <c r="AG219" s="238"/>
      <c r="AH219" s="238"/>
      <c r="AI219" s="238"/>
      <c r="AJ219" s="238"/>
      <c r="AK219" s="238"/>
      <c r="AL219" s="238"/>
      <c r="AM219" s="238"/>
    </row>
    <row r="220" spans="2:39" s="236" customFormat="1" ht="16.5" thickBot="1" x14ac:dyDescent="0.3">
      <c r="B220" s="241"/>
      <c r="C220" s="238"/>
      <c r="D220" s="238"/>
      <c r="E220" s="238"/>
      <c r="F220" s="238"/>
      <c r="G220" s="238"/>
      <c r="H220" s="238"/>
      <c r="Q220" s="238"/>
      <c r="R220" s="238"/>
      <c r="S220" s="238"/>
      <c r="T220" s="238"/>
      <c r="U220" s="238"/>
      <c r="V220" s="238"/>
      <c r="W220" s="238"/>
      <c r="X220" s="238"/>
      <c r="Y220" s="238"/>
      <c r="Z220" s="238"/>
      <c r="AA220" s="238"/>
      <c r="AB220" s="238"/>
      <c r="AC220" s="238"/>
      <c r="AD220" s="238"/>
      <c r="AE220" s="238"/>
      <c r="AF220" s="238"/>
      <c r="AG220" s="238"/>
      <c r="AH220" s="238"/>
      <c r="AI220" s="238"/>
      <c r="AJ220" s="238"/>
      <c r="AK220" s="238"/>
      <c r="AL220" s="238"/>
      <c r="AM220" s="238"/>
    </row>
    <row r="221" spans="2:39" s="236" customFormat="1" ht="15.75" x14ac:dyDescent="0.25">
      <c r="B221" s="242"/>
      <c r="C221" s="243"/>
      <c r="D221" s="243"/>
      <c r="E221" s="243"/>
      <c r="F221" s="243"/>
      <c r="G221" s="243"/>
      <c r="H221" s="244"/>
      <c r="I221" s="245" t="s">
        <v>249</v>
      </c>
      <c r="J221" s="245"/>
      <c r="K221" s="245"/>
      <c r="L221" s="245"/>
      <c r="M221" s="245"/>
      <c r="N221" s="245"/>
      <c r="O221" s="245"/>
      <c r="P221" s="245"/>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row>
    <row r="222" spans="2:39" s="236" customFormat="1" ht="15.75" x14ac:dyDescent="0.25">
      <c r="B222" s="246"/>
      <c r="H222" s="247"/>
      <c r="I222" s="245"/>
      <c r="J222" s="245"/>
      <c r="K222" s="245"/>
      <c r="L222" s="245"/>
      <c r="M222" s="245"/>
      <c r="N222" s="245"/>
      <c r="O222" s="245"/>
      <c r="P222" s="245"/>
      <c r="Q222" s="238"/>
      <c r="R222" s="238"/>
      <c r="S222" s="238"/>
      <c r="T222" s="238"/>
      <c r="U222" s="238"/>
      <c r="V222" s="238"/>
      <c r="W222" s="238"/>
      <c r="X222" s="238"/>
      <c r="Y222" s="238"/>
      <c r="Z222" s="238"/>
      <c r="AA222" s="238"/>
      <c r="AB222" s="238"/>
      <c r="AC222" s="238"/>
      <c r="AD222" s="238"/>
      <c r="AE222" s="238"/>
      <c r="AF222" s="238"/>
      <c r="AG222" s="238"/>
      <c r="AH222" s="238"/>
      <c r="AI222" s="238"/>
      <c r="AJ222" s="238"/>
      <c r="AK222" s="238"/>
      <c r="AL222" s="238"/>
      <c r="AM222" s="238"/>
    </row>
    <row r="223" spans="2:39" s="236" customFormat="1" ht="15.75" x14ac:dyDescent="0.25">
      <c r="B223" s="246"/>
      <c r="H223" s="247"/>
      <c r="I223" s="245"/>
      <c r="J223" s="245" t="s">
        <v>174</v>
      </c>
      <c r="K223" s="245"/>
      <c r="L223" s="245"/>
      <c r="M223" s="245"/>
      <c r="N223" s="245"/>
      <c r="O223" s="245"/>
      <c r="P223" s="245"/>
      <c r="Q223" s="238"/>
      <c r="R223" s="238"/>
      <c r="S223" s="238"/>
      <c r="T223" s="238"/>
      <c r="U223" s="238"/>
      <c r="V223" s="238"/>
      <c r="W223" s="238"/>
      <c r="X223" s="238"/>
      <c r="Y223" s="238"/>
      <c r="Z223" s="238"/>
      <c r="AA223" s="238"/>
      <c r="AB223" s="238"/>
      <c r="AC223" s="238"/>
      <c r="AD223" s="238"/>
      <c r="AE223" s="238"/>
      <c r="AF223" s="238"/>
      <c r="AG223" s="238"/>
      <c r="AH223" s="238"/>
      <c r="AI223" s="238"/>
      <c r="AJ223" s="238"/>
      <c r="AK223" s="238"/>
      <c r="AL223" s="238"/>
      <c r="AM223" s="238"/>
    </row>
    <row r="224" spans="2:39" s="236" customFormat="1" ht="15.75" x14ac:dyDescent="0.25">
      <c r="B224" s="246"/>
      <c r="H224" s="247"/>
      <c r="I224" s="245"/>
      <c r="J224" s="245" t="s">
        <v>175</v>
      </c>
      <c r="K224" s="245"/>
      <c r="L224" s="245"/>
      <c r="M224" s="245"/>
      <c r="N224" s="245"/>
      <c r="O224" s="245"/>
      <c r="P224" s="245"/>
      <c r="Q224" s="238"/>
      <c r="R224" s="238"/>
      <c r="S224" s="238"/>
      <c r="T224" s="238"/>
      <c r="U224" s="238"/>
      <c r="V224" s="238"/>
      <c r="W224" s="238"/>
      <c r="X224" s="238"/>
      <c r="Y224" s="238"/>
      <c r="Z224" s="238"/>
      <c r="AA224" s="238"/>
      <c r="AB224" s="238"/>
      <c r="AC224" s="238"/>
      <c r="AD224" s="238"/>
      <c r="AE224" s="238"/>
      <c r="AF224" s="238"/>
      <c r="AG224" s="238"/>
      <c r="AH224" s="238"/>
      <c r="AI224" s="238"/>
      <c r="AJ224" s="238"/>
      <c r="AK224" s="238"/>
      <c r="AL224" s="238"/>
      <c r="AM224" s="238"/>
    </row>
    <row r="225" spans="2:39" s="236" customFormat="1" ht="15.75" x14ac:dyDescent="0.25">
      <c r="B225" s="246"/>
      <c r="H225" s="247"/>
      <c r="I225" s="245"/>
      <c r="J225" s="245" t="s">
        <v>640</v>
      </c>
      <c r="K225" s="245"/>
      <c r="L225" s="245"/>
      <c r="M225" s="245"/>
      <c r="N225" s="245"/>
      <c r="O225" s="245"/>
      <c r="P225" s="245"/>
      <c r="Q225" s="238"/>
      <c r="R225" s="238"/>
      <c r="S225" s="238"/>
      <c r="T225" s="238"/>
      <c r="U225" s="238"/>
      <c r="V225" s="238"/>
      <c r="W225" s="238"/>
      <c r="X225" s="238"/>
      <c r="Y225" s="238"/>
      <c r="Z225" s="238"/>
      <c r="AA225" s="238"/>
      <c r="AB225" s="238"/>
      <c r="AC225" s="238"/>
      <c r="AD225" s="238"/>
      <c r="AE225" s="238"/>
      <c r="AF225" s="238"/>
      <c r="AG225" s="238"/>
      <c r="AH225" s="238"/>
      <c r="AI225" s="238"/>
      <c r="AJ225" s="238"/>
      <c r="AK225" s="238"/>
      <c r="AL225" s="238"/>
      <c r="AM225" s="238"/>
    </row>
    <row r="226" spans="2:39" s="236" customFormat="1" ht="14.45" customHeight="1" x14ac:dyDescent="0.25">
      <c r="B226" s="246"/>
      <c r="H226" s="247"/>
      <c r="I226" s="245"/>
      <c r="J226" s="245"/>
      <c r="K226" s="245"/>
      <c r="L226" s="245"/>
      <c r="M226" s="245"/>
      <c r="N226" s="245"/>
      <c r="O226" s="245"/>
      <c r="P226" s="245"/>
      <c r="Q226" s="238"/>
      <c r="R226" s="238"/>
      <c r="S226" s="238"/>
      <c r="T226" s="238"/>
      <c r="U226" s="238"/>
      <c r="V226" s="238"/>
      <c r="W226" s="238"/>
      <c r="X226" s="238"/>
      <c r="Y226" s="238"/>
      <c r="Z226" s="238"/>
      <c r="AA226" s="238"/>
      <c r="AB226" s="238"/>
      <c r="AC226" s="238"/>
      <c r="AD226" s="238"/>
      <c r="AE226" s="238"/>
      <c r="AF226" s="238"/>
      <c r="AG226" s="238"/>
      <c r="AH226" s="238"/>
      <c r="AI226" s="238"/>
      <c r="AJ226" s="238"/>
      <c r="AK226" s="238"/>
      <c r="AL226" s="238"/>
      <c r="AM226" s="238"/>
    </row>
    <row r="227" spans="2:39" s="236" customFormat="1" ht="15.75" x14ac:dyDescent="0.25">
      <c r="B227" s="246"/>
      <c r="H227" s="247"/>
      <c r="I227" s="245" t="s">
        <v>647</v>
      </c>
      <c r="J227" s="245"/>
      <c r="K227" s="245"/>
      <c r="L227" s="245"/>
      <c r="M227" s="245"/>
      <c r="N227" s="245"/>
      <c r="O227" s="245"/>
      <c r="P227" s="245"/>
      <c r="Q227" s="238"/>
      <c r="R227" s="238"/>
      <c r="S227" s="238"/>
      <c r="T227" s="238"/>
      <c r="U227" s="238"/>
      <c r="V227" s="238"/>
      <c r="W227" s="238"/>
      <c r="X227" s="238"/>
      <c r="Y227" s="238"/>
      <c r="Z227" s="238"/>
      <c r="AA227" s="238"/>
      <c r="AB227" s="238"/>
      <c r="AC227" s="238"/>
      <c r="AD227" s="238"/>
      <c r="AE227" s="238"/>
      <c r="AF227" s="238"/>
      <c r="AG227" s="238"/>
      <c r="AH227" s="238"/>
      <c r="AI227" s="238"/>
      <c r="AJ227" s="238"/>
      <c r="AK227" s="238"/>
      <c r="AL227" s="238"/>
      <c r="AM227" s="238"/>
    </row>
    <row r="228" spans="2:39" s="236" customFormat="1" ht="14.45" customHeight="1" x14ac:dyDescent="0.25">
      <c r="B228" s="246"/>
      <c r="H228" s="247"/>
      <c r="I228" s="245"/>
      <c r="J228" s="245"/>
      <c r="K228" s="245"/>
      <c r="L228" s="245"/>
      <c r="M228" s="245"/>
      <c r="N228" s="245"/>
      <c r="O228" s="245"/>
      <c r="P228" s="245"/>
      <c r="Q228" s="238"/>
      <c r="R228" s="238"/>
      <c r="S228" s="238"/>
      <c r="T228" s="238"/>
      <c r="U228" s="238"/>
      <c r="V228" s="238"/>
      <c r="W228" s="238"/>
      <c r="X228" s="238"/>
      <c r="Y228" s="238"/>
      <c r="Z228" s="238"/>
      <c r="AA228" s="238"/>
      <c r="AB228" s="238"/>
      <c r="AC228" s="238"/>
      <c r="AD228" s="238"/>
      <c r="AE228" s="238"/>
      <c r="AF228" s="238"/>
      <c r="AG228" s="238"/>
      <c r="AH228" s="238"/>
      <c r="AI228" s="238"/>
      <c r="AJ228" s="238"/>
      <c r="AK228" s="238"/>
      <c r="AL228" s="238"/>
      <c r="AM228" s="238"/>
    </row>
    <row r="229" spans="2:39" s="236" customFormat="1" ht="14.45" customHeight="1" x14ac:dyDescent="0.25">
      <c r="B229" s="246"/>
      <c r="H229" s="247"/>
      <c r="I229" s="245"/>
      <c r="J229" s="245"/>
      <c r="K229" s="245"/>
      <c r="L229" s="245"/>
      <c r="M229" s="245"/>
      <c r="N229" s="245"/>
      <c r="O229" s="245"/>
      <c r="P229" s="245"/>
      <c r="Q229" s="238"/>
      <c r="R229" s="238"/>
      <c r="S229" s="238"/>
      <c r="T229" s="238"/>
      <c r="U229" s="238"/>
      <c r="V229" s="238"/>
      <c r="W229" s="238"/>
      <c r="X229" s="238"/>
      <c r="Y229" s="238"/>
      <c r="Z229" s="238"/>
      <c r="AA229" s="238"/>
      <c r="AB229" s="238"/>
      <c r="AC229" s="238"/>
      <c r="AD229" s="238"/>
      <c r="AE229" s="238"/>
      <c r="AF229" s="238"/>
      <c r="AG229" s="238"/>
      <c r="AH229" s="238"/>
      <c r="AI229" s="238"/>
      <c r="AJ229" s="238"/>
      <c r="AK229" s="238"/>
      <c r="AL229" s="238"/>
      <c r="AM229" s="238"/>
    </row>
    <row r="230" spans="2:39" s="236" customFormat="1" ht="14.45" customHeight="1" x14ac:dyDescent="0.25">
      <c r="B230" s="246"/>
      <c r="H230" s="247"/>
      <c r="I230" s="639" t="s">
        <v>648</v>
      </c>
      <c r="J230" s="640"/>
      <c r="K230" s="640"/>
      <c r="L230" s="640"/>
      <c r="M230" s="640"/>
      <c r="N230" s="640"/>
      <c r="O230" s="640"/>
      <c r="P230" s="640"/>
      <c r="Q230" s="238"/>
      <c r="V230" s="238"/>
      <c r="W230" s="238"/>
      <c r="X230" s="238"/>
      <c r="Y230" s="238"/>
      <c r="Z230" s="238"/>
      <c r="AA230" s="238"/>
      <c r="AB230" s="238"/>
      <c r="AC230" s="238"/>
      <c r="AD230" s="238"/>
      <c r="AE230" s="238"/>
      <c r="AF230" s="238"/>
      <c r="AG230" s="238"/>
      <c r="AH230" s="238"/>
      <c r="AI230" s="238"/>
      <c r="AJ230" s="238"/>
      <c r="AK230" s="238"/>
      <c r="AL230" s="238"/>
    </row>
    <row r="231" spans="2:39" s="236" customFormat="1" ht="14.45" customHeight="1" x14ac:dyDescent="0.25">
      <c r="B231" s="246"/>
      <c r="H231" s="247"/>
      <c r="I231" s="639"/>
      <c r="J231" s="640"/>
      <c r="K231" s="640"/>
      <c r="L231" s="640"/>
      <c r="M231" s="640"/>
      <c r="N231" s="640"/>
      <c r="O231" s="640"/>
      <c r="P231" s="640"/>
      <c r="Q231" s="238"/>
      <c r="V231" s="238"/>
      <c r="W231" s="238"/>
      <c r="X231" s="238"/>
      <c r="Y231" s="238"/>
      <c r="Z231" s="238"/>
      <c r="AA231" s="238"/>
      <c r="AB231" s="238"/>
      <c r="AC231" s="238"/>
      <c r="AD231" s="238"/>
      <c r="AE231" s="238"/>
      <c r="AF231" s="238"/>
      <c r="AG231" s="238"/>
      <c r="AH231" s="238"/>
      <c r="AI231" s="238"/>
      <c r="AJ231" s="238"/>
      <c r="AK231" s="238"/>
      <c r="AL231" s="238"/>
    </row>
    <row r="232" spans="2:39" s="236" customFormat="1" ht="15.75" x14ac:dyDescent="0.25">
      <c r="B232" s="246"/>
      <c r="H232" s="247"/>
      <c r="I232" s="245"/>
      <c r="J232" s="245"/>
      <c r="K232" s="245"/>
      <c r="L232" s="245"/>
      <c r="M232" s="245"/>
      <c r="N232" s="245"/>
      <c r="O232" s="245"/>
      <c r="P232" s="245"/>
      <c r="Q232" s="238"/>
      <c r="V232" s="238"/>
      <c r="W232" s="238"/>
      <c r="X232" s="238"/>
      <c r="Y232" s="238"/>
      <c r="Z232" s="238"/>
      <c r="AA232" s="238"/>
      <c r="AB232" s="238"/>
      <c r="AC232" s="238"/>
      <c r="AD232" s="238"/>
      <c r="AE232" s="238"/>
      <c r="AF232" s="238"/>
      <c r="AG232" s="238"/>
      <c r="AH232" s="238"/>
      <c r="AI232" s="238"/>
      <c r="AJ232" s="238"/>
      <c r="AK232" s="238"/>
      <c r="AL232" s="238"/>
      <c r="AM232" s="238"/>
    </row>
    <row r="233" spans="2:39" s="236" customFormat="1" ht="14.45" customHeight="1" x14ac:dyDescent="0.25">
      <c r="B233" s="246"/>
      <c r="H233" s="247"/>
      <c r="I233" s="641" t="s">
        <v>649</v>
      </c>
      <c r="J233" s="642"/>
      <c r="K233" s="642"/>
      <c r="L233" s="642"/>
      <c r="M233" s="642"/>
      <c r="N233" s="642"/>
      <c r="O233" s="642"/>
      <c r="P233" s="642"/>
      <c r="Q233" s="238"/>
      <c r="V233" s="238"/>
      <c r="W233" s="238"/>
      <c r="X233" s="238"/>
      <c r="Y233" s="238"/>
      <c r="Z233" s="238"/>
      <c r="AA233" s="238"/>
      <c r="AB233" s="238"/>
      <c r="AC233" s="238"/>
      <c r="AD233" s="238"/>
      <c r="AE233" s="238"/>
      <c r="AF233" s="238"/>
      <c r="AG233" s="238"/>
      <c r="AH233" s="238"/>
      <c r="AI233" s="238"/>
      <c r="AJ233" s="238"/>
      <c r="AK233" s="238"/>
      <c r="AL233" s="238"/>
      <c r="AM233" s="238"/>
    </row>
    <row r="234" spans="2:39" s="236" customFormat="1" ht="15.75" x14ac:dyDescent="0.25">
      <c r="B234" s="246"/>
      <c r="H234" s="247"/>
      <c r="I234" s="641"/>
      <c r="J234" s="642"/>
      <c r="K234" s="642"/>
      <c r="L234" s="642"/>
      <c r="M234" s="642"/>
      <c r="N234" s="642"/>
      <c r="O234" s="642"/>
      <c r="P234" s="642"/>
      <c r="Q234" s="238"/>
      <c r="V234" s="238"/>
      <c r="W234" s="238"/>
      <c r="X234" s="238"/>
      <c r="Y234" s="238"/>
      <c r="Z234" s="238"/>
      <c r="AA234" s="238"/>
      <c r="AB234" s="238"/>
      <c r="AC234" s="238"/>
      <c r="AD234" s="238"/>
      <c r="AE234" s="238"/>
      <c r="AF234" s="238"/>
      <c r="AG234" s="238"/>
      <c r="AH234" s="238"/>
      <c r="AI234" s="238"/>
      <c r="AJ234" s="238"/>
      <c r="AK234" s="238"/>
      <c r="AL234" s="238"/>
      <c r="AM234" s="238"/>
    </row>
    <row r="235" spans="2:39" s="236" customFormat="1" ht="16.5" thickBot="1" x14ac:dyDescent="0.3">
      <c r="B235" s="248"/>
      <c r="C235" s="249"/>
      <c r="D235" s="249"/>
      <c r="E235" s="249"/>
      <c r="F235" s="249"/>
      <c r="G235" s="249"/>
      <c r="H235" s="250"/>
      <c r="I235" s="230"/>
      <c r="J235" s="229"/>
      <c r="K235" s="229"/>
      <c r="L235" s="229"/>
      <c r="M235" s="229"/>
      <c r="N235" s="229"/>
      <c r="O235" s="229"/>
      <c r="P235" s="229"/>
      <c r="Q235" s="238"/>
      <c r="R235" s="238"/>
      <c r="S235" s="238"/>
      <c r="T235" s="238"/>
      <c r="U235" s="238"/>
      <c r="V235" s="238"/>
      <c r="W235" s="238"/>
      <c r="X235" s="238"/>
      <c r="Y235" s="238"/>
      <c r="Z235" s="238"/>
      <c r="AA235" s="238"/>
      <c r="AB235" s="238"/>
      <c r="AC235" s="238"/>
      <c r="AD235" s="238"/>
      <c r="AE235" s="238"/>
      <c r="AF235" s="238"/>
      <c r="AG235" s="238"/>
      <c r="AH235" s="238"/>
      <c r="AI235" s="238"/>
      <c r="AJ235" s="238"/>
      <c r="AK235" s="238"/>
      <c r="AL235" s="238"/>
      <c r="AM235" s="238"/>
    </row>
    <row r="236" spans="2:39" s="236" customFormat="1" ht="15.75" x14ac:dyDescent="0.25">
      <c r="Q236" s="238"/>
      <c r="R236" s="238"/>
      <c r="S236" s="238"/>
      <c r="T236" s="238"/>
      <c r="U236" s="238"/>
      <c r="V236" s="238"/>
      <c r="W236" s="238"/>
      <c r="X236" s="238"/>
      <c r="Y236" s="238"/>
      <c r="Z236" s="238"/>
      <c r="AA236" s="238"/>
      <c r="AB236" s="238"/>
      <c r="AC236" s="238"/>
      <c r="AD236" s="238"/>
      <c r="AE236" s="238"/>
      <c r="AF236" s="238"/>
      <c r="AG236" s="238"/>
      <c r="AH236" s="238"/>
      <c r="AI236" s="238"/>
      <c r="AJ236" s="238"/>
      <c r="AK236" s="238"/>
      <c r="AL236" s="238"/>
      <c r="AM236" s="238"/>
    </row>
    <row r="237" spans="2:39" s="236" customFormat="1" ht="15.75" x14ac:dyDescent="0.25">
      <c r="B237" s="251"/>
      <c r="Q237" s="238"/>
      <c r="R237"/>
      <c r="S237"/>
      <c r="T237"/>
      <c r="U237"/>
      <c r="V237" s="238"/>
      <c r="W237" s="238"/>
      <c r="X237" s="238"/>
      <c r="Y237" s="238"/>
      <c r="Z237" s="238"/>
      <c r="AA237" s="238"/>
      <c r="AB237" s="238"/>
      <c r="AC237" s="238"/>
      <c r="AD237" s="238"/>
      <c r="AE237" s="238"/>
      <c r="AF237" s="238"/>
      <c r="AG237" s="238"/>
      <c r="AH237" s="238"/>
      <c r="AI237" s="238"/>
      <c r="AJ237" s="238"/>
      <c r="AK237" s="238"/>
      <c r="AL237" s="238"/>
      <c r="AM237" s="238"/>
    </row>
    <row r="238" spans="2:39" x14ac:dyDescent="0.25">
      <c r="B238" s="254"/>
      <c r="E238" s="253"/>
      <c r="F238" s="252"/>
    </row>
    <row r="250" spans="31:34" ht="15.75" x14ac:dyDescent="0.25">
      <c r="AE250" s="238" t="s">
        <v>644</v>
      </c>
      <c r="AF250" s="238" t="s">
        <v>69</v>
      </c>
      <c r="AG250" s="238" t="s">
        <v>261</v>
      </c>
      <c r="AH250" s="238" t="s">
        <v>643</v>
      </c>
    </row>
    <row r="251" spans="31:34" ht="15.75" x14ac:dyDescent="0.25">
      <c r="AE251" s="238" t="s">
        <v>646</v>
      </c>
      <c r="AF251" s="238">
        <v>20.100999999999999</v>
      </c>
      <c r="AG251" s="238">
        <v>12.161</v>
      </c>
      <c r="AH251" s="615">
        <f>Table1[[#This Row],[Gross Profit]]/Table1[[#This Row],[Revenue]]</f>
        <v>0.60499477637928467</v>
      </c>
    </row>
    <row r="252" spans="31:34" ht="15.75" x14ac:dyDescent="0.25">
      <c r="AE252" s="238" t="s">
        <v>645</v>
      </c>
      <c r="AF252" s="238">
        <v>84.346000000000004</v>
      </c>
      <c r="AG252" s="238">
        <v>43.304000000000002</v>
      </c>
      <c r="AH252" s="615">
        <f>Table1[[#This Row],[Gross Profit]]/Table1[[#This Row],[Revenue]]</f>
        <v>0.51340905318568753</v>
      </c>
    </row>
    <row r="253" spans="31:34" ht="15.75" x14ac:dyDescent="0.25">
      <c r="AE253" s="238" t="s">
        <v>641</v>
      </c>
      <c r="AF253" s="238">
        <v>20.058</v>
      </c>
      <c r="AG253" s="238">
        <v>7.18</v>
      </c>
      <c r="AH253" s="615">
        <f>Table1[[#This Row],[Gross Profit]]/Table1[[#This Row],[Revenue]]</f>
        <v>0.35796191045966697</v>
      </c>
    </row>
    <row r="254" spans="31:34" ht="15.75" x14ac:dyDescent="0.25">
      <c r="AE254" s="238" t="s">
        <v>642</v>
      </c>
      <c r="AF254" s="238">
        <v>7.165</v>
      </c>
      <c r="AG254" s="238">
        <v>3.1949999999999998</v>
      </c>
      <c r="AH254" s="615">
        <f>Table1[[#This Row],[Gross Profit]]/Table1[[#This Row],[Revenue]]</f>
        <v>0.44591765526866711</v>
      </c>
    </row>
  </sheetData>
  <mergeCells count="25">
    <mergeCell ref="B11:P26"/>
    <mergeCell ref="I109:P119"/>
    <mergeCell ref="I125:P138"/>
    <mergeCell ref="I139:P139"/>
    <mergeCell ref="B149:P149"/>
    <mergeCell ref="B150:P150"/>
    <mergeCell ref="C151:C153"/>
    <mergeCell ref="E151:F153"/>
    <mergeCell ref="H151:I153"/>
    <mergeCell ref="K151:L153"/>
    <mergeCell ref="N151:O153"/>
    <mergeCell ref="C155:C159"/>
    <mergeCell ref="E155:O155"/>
    <mergeCell ref="E156:O156"/>
    <mergeCell ref="E157:O157"/>
    <mergeCell ref="E158:O158"/>
    <mergeCell ref="E159:O159"/>
    <mergeCell ref="I230:P231"/>
    <mergeCell ref="I233:P234"/>
    <mergeCell ref="B194:P194"/>
    <mergeCell ref="B195:P195"/>
    <mergeCell ref="B196:P196"/>
    <mergeCell ref="B197:P197"/>
    <mergeCell ref="B200:J200"/>
    <mergeCell ref="L200:O200"/>
  </mergeCells>
  <pageMargins left="0.70866141732283472" right="0.70866141732283472" top="0.74803149606299213" bottom="0.74803149606299213" header="0.31496062992125984" footer="0.31496062992125984"/>
  <pageSetup scale="27" orientation="landscape" errors="blank" r:id="rId1"/>
  <rowBreaks count="1" manualBreakCount="1">
    <brk id="150" max="15" man="1"/>
  </rowBreaks>
  <colBreaks count="1" manualBreakCount="1">
    <brk id="16" max="234" man="1"/>
  </colBreaks>
  <drawing r:id="rId2"/>
  <legacyDrawing r:id="rId3"/>
  <tableParts count="4">
    <tablePart r:id="rId4"/>
    <tablePart r:id="rId5"/>
    <tablePart r:id="rId6"/>
    <tablePart r:id="rId7"/>
  </tableParts>
  <extLst>
    <ext xmlns:x14="http://schemas.microsoft.com/office/spreadsheetml/2009/9/main" uri="{05C60535-1F16-4fd2-B633-F4F36F0B64E0}">
      <x14:sparklineGroups xmlns:xm="http://schemas.microsoft.com/office/excel/2006/main">
        <x14:sparklineGroup displayEmptyCellsAs="gap" xr2:uid="{764B3912-5AD1-4B47-A21D-54C7B463B612}">
          <x14:colorSeries rgb="FF376092"/>
          <x14:colorNegative rgb="FFD00000"/>
          <x14:colorAxis rgb="FF000000"/>
          <x14:colorMarkers rgb="FFD00000"/>
          <x14:colorFirst rgb="FFD00000"/>
          <x14:colorLast rgb="FFD00000"/>
          <x14:colorHigh rgb="FFD00000"/>
          <x14:colorLow rgb="FFD00000"/>
          <x14:sparklines>
            <x14:sparkline>
              <xm:f>[1]Charts!C87:G87</xm:f>
              <xm:sqref>L142</xm:sqref>
            </x14:sparkline>
          </x14:sparklines>
        </x14:sparklineGroup>
        <x14:sparklineGroup displayEmptyCellsAs="gap" xr2:uid="{A8AA77EB-483B-4582-BD5B-0BB11022BA16}">
          <x14:colorSeries rgb="FF376092"/>
          <x14:colorNegative rgb="FFD00000"/>
          <x14:colorAxis rgb="FF000000"/>
          <x14:colorMarkers rgb="FFD00000"/>
          <x14:colorFirst rgb="FFD00000"/>
          <x14:colorLast rgb="FFD00000"/>
          <x14:colorHigh rgb="FFD00000"/>
          <x14:colorLow rgb="FFD00000"/>
          <x14:sparklines>
            <x14:sparkline>
              <xm:f>[1]Charts!C86:G86</xm:f>
              <xm:sqref>L141</xm:sqref>
            </x14:sparkline>
          </x14:sparklines>
        </x14:sparklineGroup>
        <x14:sparklineGroup displayEmptyCellsAs="gap" xr2:uid="{93F71FA5-4182-40E7-91E0-6395E022B64B}">
          <x14:colorSeries rgb="FF376092"/>
          <x14:colorNegative rgb="FFD00000"/>
          <x14:colorAxis rgb="FF000000"/>
          <x14:colorMarkers rgb="FFD00000"/>
          <x14:colorFirst rgb="FFD00000"/>
          <x14:colorLast rgb="FFD00000"/>
          <x14:colorHigh rgb="FFD00000"/>
          <x14:colorLow rgb="FFD00000"/>
          <x14:sparklines>
            <x14:sparkline>
              <xm:f>[1]Charts!C85:G85</xm:f>
              <xm:sqref>L140</xm:sqref>
            </x14:sparkline>
          </x14:sparklines>
        </x14:sparklineGroup>
        <x14:sparklineGroup displayEmptyCellsAs="gap" xr2:uid="{9FFB1779-D3CD-4CF0-BB81-4CA2BE7085C4}">
          <x14:colorSeries rgb="FF376092"/>
          <x14:colorNegative rgb="FFD00000"/>
          <x14:colorAxis rgb="FF000000"/>
          <x14:colorMarkers rgb="FFD00000"/>
          <x14:colorFirst rgb="FFD00000"/>
          <x14:colorLast rgb="FFD00000"/>
          <x14:colorHigh rgb="FFD00000"/>
          <x14:colorLow rgb="FFD00000"/>
          <x14:sparklines>
            <x14:sparkline>
              <xm:f>[1]Charts!C88:G88</xm:f>
              <xm:sqref>L143</xm:sqref>
            </x14:sparkline>
          </x14:sparklines>
        </x14:sparklineGroup>
        <x14:sparklineGroup displayEmptyCellsAs="gap" xr2:uid="{503B7FD1-958A-4750-B6D9-BC3CB28427CD}">
          <x14:colorSeries rgb="FF376092"/>
          <x14:colorNegative rgb="FFD00000"/>
          <x14:colorAxis rgb="FF000000"/>
          <x14:colorMarkers rgb="FFD00000"/>
          <x14:colorFirst rgb="FFD00000"/>
          <x14:colorLast rgb="FFD00000"/>
          <x14:colorHigh rgb="FFD00000"/>
          <x14:colorLow rgb="FFD00000"/>
          <x14:sparklines>
            <x14:sparkline>
              <xm:f>[1]Charts!C92:G92</xm:f>
              <xm:sqref>L145</xm:sqref>
            </x14:sparkline>
          </x14:sparklines>
        </x14:sparklineGroup>
        <x14:sparklineGroup displayEmptyCellsAs="gap" xr2:uid="{9B80BAF8-0CA7-4B43-B8D7-E7C094355A45}">
          <x14:colorSeries rgb="FF376092"/>
          <x14:colorNegative rgb="FFD00000"/>
          <x14:colorAxis rgb="FF000000"/>
          <x14:colorMarkers rgb="FFD00000"/>
          <x14:colorFirst rgb="FFD00000"/>
          <x14:colorLast rgb="FFD00000"/>
          <x14:colorHigh rgb="FFD00000"/>
          <x14:colorLow rgb="FFD00000"/>
          <x14:sparklines>
            <x14:sparkline>
              <xm:f>[1]Charts!C89:G89</xm:f>
              <xm:sqref>L144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6106-4FB7-4451-B29C-445B902AA674}">
  <dimension ref="A1:P32"/>
  <sheetViews>
    <sheetView showGridLines="0" view="pageBreakPreview" zoomScale="80" zoomScaleNormal="100" zoomScaleSheetLayoutView="80" workbookViewId="0">
      <selection sqref="A1:H32"/>
    </sheetView>
  </sheetViews>
  <sheetFormatPr defaultRowHeight="15" x14ac:dyDescent="0.25"/>
  <cols>
    <col min="1" max="1" width="3.7109375" bestFit="1" customWidth="1"/>
    <col min="2" max="2" width="36.7109375" bestFit="1" customWidth="1"/>
    <col min="3" max="3" width="15.42578125" bestFit="1" customWidth="1"/>
    <col min="4" max="4" width="10.42578125" bestFit="1" customWidth="1"/>
    <col min="5" max="5" width="15.42578125" bestFit="1" customWidth="1"/>
    <col min="6" max="6" width="3" bestFit="1" customWidth="1"/>
  </cols>
  <sheetData>
    <row r="1" spans="1:16" ht="15.75" customHeight="1" x14ac:dyDescent="0.25">
      <c r="O1" s="8"/>
      <c r="P1" s="157"/>
    </row>
    <row r="2" spans="1:16" ht="15.75" customHeight="1" x14ac:dyDescent="0.25"/>
    <row r="3" spans="1:16" ht="15.75" customHeight="1" x14ac:dyDescent="0.25">
      <c r="D3" s="571" t="s">
        <v>625</v>
      </c>
    </row>
    <row r="4" spans="1:16" ht="15.75" customHeight="1" x14ac:dyDescent="0.25">
      <c r="D4" s="571" t="s">
        <v>636</v>
      </c>
    </row>
    <row r="5" spans="1:16" ht="15.75" customHeight="1" x14ac:dyDescent="0.25">
      <c r="D5" s="572" t="s">
        <v>626</v>
      </c>
    </row>
    <row r="6" spans="1:16" ht="15.75" customHeight="1" x14ac:dyDescent="0.25">
      <c r="A6" s="31"/>
      <c r="D6" s="572" t="s">
        <v>627</v>
      </c>
    </row>
    <row r="7" spans="1:16" ht="15.75" customHeight="1" x14ac:dyDescent="0.25">
      <c r="A7" s="31"/>
      <c r="E7" s="9"/>
    </row>
    <row r="8" spans="1:16" ht="15.75" thickBot="1" x14ac:dyDescent="0.3">
      <c r="A8" s="31"/>
      <c r="E8" s="9"/>
    </row>
    <row r="9" spans="1:16" ht="46.5" thickTop="1" thickBot="1" x14ac:dyDescent="0.3">
      <c r="B9" s="507" t="s">
        <v>539</v>
      </c>
      <c r="C9" s="508" t="s">
        <v>598</v>
      </c>
      <c r="D9" s="509" t="s">
        <v>540</v>
      </c>
      <c r="E9" s="508" t="s">
        <v>597</v>
      </c>
    </row>
    <row r="10" spans="1:16" ht="15.75" thickTop="1" x14ac:dyDescent="0.25">
      <c r="B10" s="303"/>
      <c r="C10" s="504" t="str">
        <f>$A$31</f>
        <v xml:space="preserve">[a] </v>
      </c>
      <c r="D10" s="496"/>
      <c r="E10" s="496"/>
    </row>
    <row r="11" spans="1:16" ht="15.75" thickBot="1" x14ac:dyDescent="0.3">
      <c r="B11" s="498" t="s">
        <v>541</v>
      </c>
      <c r="C11" s="299"/>
      <c r="D11" s="497"/>
      <c r="E11" s="300"/>
    </row>
    <row r="12" spans="1:16" ht="16.5" thickTop="1" thickBot="1" x14ac:dyDescent="0.3">
      <c r="B12" s="524" t="s">
        <v>542</v>
      </c>
      <c r="C12" s="527">
        <f>DCF!$D$50</f>
        <v>213900</v>
      </c>
      <c r="D12" s="530">
        <v>0.8</v>
      </c>
      <c r="E12" s="512">
        <f t="shared" ref="E12" si="0">D12*C12</f>
        <v>171120</v>
      </c>
      <c r="H12" s="108"/>
    </row>
    <row r="13" spans="1:16" ht="16.5" thickTop="1" thickBot="1" x14ac:dyDescent="0.3">
      <c r="B13" s="524" t="s">
        <v>518</v>
      </c>
      <c r="C13" s="527">
        <f>DCF!D56</f>
        <v>154600</v>
      </c>
      <c r="D13" s="530">
        <v>0</v>
      </c>
      <c r="E13" s="512">
        <f>D13*C13</f>
        <v>0</v>
      </c>
    </row>
    <row r="14" spans="1:16" ht="15.75" thickTop="1" x14ac:dyDescent="0.25">
      <c r="B14" s="500"/>
      <c r="C14" s="302"/>
      <c r="D14" s="531"/>
      <c r="E14" s="302"/>
    </row>
    <row r="15" spans="1:16" ht="15.75" thickBot="1" x14ac:dyDescent="0.3">
      <c r="B15" s="501" t="s">
        <v>543</v>
      </c>
      <c r="C15" s="302"/>
      <c r="D15" s="532"/>
      <c r="E15" s="302"/>
    </row>
    <row r="16" spans="1:16" ht="16.5" thickTop="1" thickBot="1" x14ac:dyDescent="0.3">
      <c r="B16" s="524" t="s">
        <v>609</v>
      </c>
      <c r="C16" s="527">
        <f>GPC!$H$13</f>
        <v>136900</v>
      </c>
      <c r="D16" s="530">
        <v>0.2</v>
      </c>
      <c r="E16" s="512">
        <f t="shared" ref="E16" si="1">D16*C16</f>
        <v>27380</v>
      </c>
      <c r="H16" s="108"/>
    </row>
    <row r="17" spans="1:6" ht="16.5" thickTop="1" thickBot="1" x14ac:dyDescent="0.3">
      <c r="B17" s="501"/>
      <c r="C17" s="528"/>
      <c r="D17" s="533"/>
      <c r="E17" s="301"/>
    </row>
    <row r="18" spans="1:6" ht="16.5" thickTop="1" thickBot="1" x14ac:dyDescent="0.3">
      <c r="B18" s="501" t="s">
        <v>544</v>
      </c>
      <c r="C18" s="527">
        <f>NAV!$G$36</f>
        <v>575.58565640916277</v>
      </c>
      <c r="D18" s="530">
        <v>0</v>
      </c>
      <c r="E18" s="512">
        <f t="shared" ref="E18" si="2">D18*C18</f>
        <v>0</v>
      </c>
    </row>
    <row r="19" spans="1:6" ht="16.5" thickTop="1" thickBot="1" x14ac:dyDescent="0.3">
      <c r="B19" s="502"/>
      <c r="C19" s="503"/>
      <c r="D19" s="504"/>
      <c r="E19" s="505"/>
    </row>
    <row r="20" spans="1:6" ht="16.5" thickTop="1" thickBot="1" x14ac:dyDescent="0.3">
      <c r="B20" s="513" t="s">
        <v>545</v>
      </c>
      <c r="C20" s="514"/>
      <c r="D20" s="515"/>
      <c r="E20" s="510">
        <f>SUM(E12:E18)</f>
        <v>198500</v>
      </c>
    </row>
    <row r="21" spans="1:6" ht="16.5" thickTop="1" thickBot="1" x14ac:dyDescent="0.3">
      <c r="B21" s="502"/>
      <c r="C21" s="503"/>
      <c r="D21" s="504"/>
      <c r="E21" s="505"/>
    </row>
    <row r="22" spans="1:6" ht="16.5" thickTop="1" thickBot="1" x14ac:dyDescent="0.3">
      <c r="B22" s="513" t="s">
        <v>607</v>
      </c>
      <c r="C22" s="516"/>
      <c r="D22" s="517"/>
      <c r="E22" s="511">
        <f>E20/DCF!$H$20</f>
        <v>40.942729417539923</v>
      </c>
      <c r="F22" s="303"/>
    </row>
    <row r="23" spans="1:6" ht="16.5" thickTop="1" thickBot="1" x14ac:dyDescent="0.3">
      <c r="B23" s="499"/>
      <c r="C23" s="502"/>
      <c r="D23" s="502"/>
      <c r="F23" s="303"/>
    </row>
    <row r="24" spans="1:6" ht="16.5" thickTop="1" thickBot="1" x14ac:dyDescent="0.3">
      <c r="B24" s="513" t="str">
        <f>B20</f>
        <v>Enterprise Value - Rounded</v>
      </c>
      <c r="C24" s="514"/>
      <c r="D24" s="515"/>
      <c r="E24" s="510">
        <f>ROUND(E20,-1)</f>
        <v>198500</v>
      </c>
    </row>
    <row r="25" spans="1:6" ht="16.5" thickTop="1" thickBot="1" x14ac:dyDescent="0.3">
      <c r="B25" s="303"/>
      <c r="C25" s="303"/>
      <c r="D25" s="303"/>
      <c r="E25" s="506"/>
      <c r="F25" s="303"/>
    </row>
    <row r="26" spans="1:6" ht="16.5" thickTop="1" thickBot="1" x14ac:dyDescent="0.3">
      <c r="B26" s="303" t="s">
        <v>546</v>
      </c>
      <c r="C26" s="303"/>
      <c r="D26" s="303"/>
      <c r="E26" s="525">
        <f>BS!G13</f>
        <v>1096</v>
      </c>
      <c r="F26" s="303"/>
    </row>
    <row r="27" spans="1:6" ht="16.5" thickTop="1" thickBot="1" x14ac:dyDescent="0.3">
      <c r="B27" s="303" t="s">
        <v>547</v>
      </c>
      <c r="C27" s="303"/>
      <c r="D27" s="303"/>
      <c r="E27" s="525">
        <f>BS!G30+BS!G31+BS!G37+BS!G52</f>
        <v>8281</v>
      </c>
      <c r="F27" s="303"/>
    </row>
    <row r="28" spans="1:6" ht="16.5" thickTop="1" thickBot="1" x14ac:dyDescent="0.3">
      <c r="B28" s="303"/>
      <c r="C28" s="303"/>
      <c r="D28" s="303"/>
      <c r="E28" s="506"/>
      <c r="F28" s="303"/>
    </row>
    <row r="29" spans="1:6" ht="16.5" thickTop="1" thickBot="1" x14ac:dyDescent="0.3">
      <c r="B29" s="513" t="s">
        <v>548</v>
      </c>
      <c r="C29" s="514"/>
      <c r="D29" s="515"/>
      <c r="E29" s="510">
        <f>ROUND(E24+E26-E27,-2)</f>
        <v>191300</v>
      </c>
      <c r="F29" s="303"/>
    </row>
    <row r="30" spans="1:6" ht="15.75" thickTop="1" x14ac:dyDescent="0.25">
      <c r="B30" s="303"/>
      <c r="C30" s="303"/>
      <c r="D30" s="303"/>
      <c r="E30" s="303"/>
      <c r="F30" s="303"/>
    </row>
    <row r="31" spans="1:6" ht="29.45" customHeight="1" x14ac:dyDescent="0.25">
      <c r="A31" s="159" t="s">
        <v>605</v>
      </c>
      <c r="B31" s="665" t="s">
        <v>608</v>
      </c>
      <c r="C31" s="665"/>
      <c r="D31" s="665"/>
      <c r="E31" s="665"/>
      <c r="F31" s="665"/>
    </row>
    <row r="32" spans="1:6" x14ac:dyDescent="0.25">
      <c r="B32" s="303"/>
      <c r="C32" s="303"/>
      <c r="D32" s="303"/>
      <c r="E32" s="303"/>
      <c r="F32" s="303"/>
    </row>
  </sheetData>
  <mergeCells count="1">
    <mergeCell ref="B31:F31"/>
  </mergeCells>
  <pageMargins left="0.7" right="0.7" top="0.75" bottom="0.75" header="0.3" footer="0.3"/>
  <pageSetup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CCC8-4BAF-43F3-A24A-F2A42B2F141D}">
  <dimension ref="A1:P15"/>
  <sheetViews>
    <sheetView showGridLines="0" view="pageBreakPreview" zoomScale="80" zoomScaleNormal="100" zoomScaleSheetLayoutView="80" workbookViewId="0">
      <selection activeCell="K11" sqref="K11"/>
    </sheetView>
  </sheetViews>
  <sheetFormatPr defaultRowHeight="15" x14ac:dyDescent="0.25"/>
  <cols>
    <col min="2" max="2" width="23.42578125" bestFit="1" customWidth="1"/>
    <col min="3" max="3" width="10.140625" bestFit="1" customWidth="1"/>
    <col min="4" max="4" width="16.28515625" bestFit="1" customWidth="1"/>
    <col min="5" max="5" width="15.7109375" bestFit="1" customWidth="1"/>
    <col min="6" max="6" width="10.5703125" bestFit="1" customWidth="1"/>
    <col min="7" max="7" width="3.42578125" bestFit="1" customWidth="1"/>
  </cols>
  <sheetData>
    <row r="1" spans="1:16" x14ac:dyDescent="0.25">
      <c r="O1" s="8"/>
      <c r="P1" s="157"/>
    </row>
    <row r="3" spans="1:16" x14ac:dyDescent="0.25">
      <c r="D3" s="571" t="s">
        <v>625</v>
      </c>
    </row>
    <row r="4" spans="1:16" ht="12.75" customHeight="1" x14ac:dyDescent="0.25">
      <c r="D4" s="571" t="s">
        <v>637</v>
      </c>
    </row>
    <row r="5" spans="1:16" ht="12.75" customHeight="1" x14ac:dyDescent="0.25">
      <c r="D5" s="572"/>
    </row>
    <row r="6" spans="1:16" x14ac:dyDescent="0.25">
      <c r="A6" s="31"/>
      <c r="D6" s="572"/>
    </row>
    <row r="7" spans="1:16" x14ac:dyDescent="0.25">
      <c r="A7" s="31"/>
      <c r="E7" s="9"/>
    </row>
    <row r="8" spans="1:16" ht="15.75" thickBot="1" x14ac:dyDescent="0.3"/>
    <row r="9" spans="1:16" ht="17.25" thickTop="1" thickBot="1" x14ac:dyDescent="0.3">
      <c r="B9" s="526" t="s">
        <v>549</v>
      </c>
      <c r="C9" s="526"/>
      <c r="D9" s="521">
        <v>0.1</v>
      </c>
      <c r="E9" s="304"/>
      <c r="F9" s="304"/>
    </row>
    <row r="10" spans="1:16" ht="16.5" thickTop="1" thickBot="1" x14ac:dyDescent="0.3">
      <c r="B10" s="304"/>
      <c r="C10" s="304"/>
      <c r="D10" s="304"/>
      <c r="E10" s="304"/>
      <c r="F10" s="304"/>
    </row>
    <row r="11" spans="1:16" ht="17.25" thickTop="1" thickBot="1" x14ac:dyDescent="0.3">
      <c r="B11" s="520" t="s">
        <v>539</v>
      </c>
      <c r="C11" s="520" t="s">
        <v>550</v>
      </c>
      <c r="D11" s="520" t="s">
        <v>551</v>
      </c>
      <c r="E11" s="520" t="s">
        <v>552</v>
      </c>
      <c r="F11" s="520" t="s">
        <v>553</v>
      </c>
    </row>
    <row r="12" spans="1:16" ht="16.5" thickTop="1" thickBot="1" x14ac:dyDescent="0.3">
      <c r="B12" s="569" t="s">
        <v>554</v>
      </c>
      <c r="C12" s="519">
        <f>'Valuation Summary'!$C$12</f>
        <v>213900</v>
      </c>
      <c r="D12" s="518">
        <f>C12*(1+$D$9)</f>
        <v>235290.00000000003</v>
      </c>
      <c r="E12" s="518">
        <f>C12*(1-$D$9)</f>
        <v>192510</v>
      </c>
      <c r="F12" s="518">
        <f>D12-E12</f>
        <v>42780.000000000029</v>
      </c>
    </row>
    <row r="13" spans="1:16" ht="16.5" thickTop="1" thickBot="1" x14ac:dyDescent="0.3">
      <c r="B13" s="569" t="s">
        <v>556</v>
      </c>
      <c r="C13" s="519">
        <f>'Valuation Summary'!$C$16</f>
        <v>136900</v>
      </c>
      <c r="D13" s="518">
        <f>C13*(1+$D$9)</f>
        <v>150590</v>
      </c>
      <c r="E13" s="518">
        <f>C13*(1-$D$9)</f>
        <v>123210</v>
      </c>
      <c r="F13" s="518">
        <f>D13-E13</f>
        <v>27380</v>
      </c>
    </row>
    <row r="14" spans="1:16" ht="16.5" thickTop="1" thickBot="1" x14ac:dyDescent="0.3">
      <c r="B14" s="569" t="s">
        <v>555</v>
      </c>
      <c r="C14" s="519">
        <f>'Valuation Summary'!$C$18</f>
        <v>575.58565640916277</v>
      </c>
      <c r="D14" s="518">
        <f>C14*(1+$D$9)</f>
        <v>633.14422205007907</v>
      </c>
      <c r="E14" s="518">
        <f>C14*(1-$D$9)</f>
        <v>518.02709076824647</v>
      </c>
      <c r="F14" s="518">
        <f>D14-E14</f>
        <v>115.1171312818326</v>
      </c>
    </row>
    <row r="15" spans="1:16" ht="15.75" thickTop="1" x14ac:dyDescent="0.25"/>
  </sheetData>
  <pageMargins left="0.7" right="0.7" top="0.75" bottom="0.75" header="0.3" footer="0.3"/>
  <pageSetup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771B-6519-4C82-9971-5B1C68FD75E1}">
  <sheetPr>
    <pageSetUpPr fitToPage="1"/>
  </sheetPr>
  <dimension ref="A1:T50"/>
  <sheetViews>
    <sheetView showGridLines="0" view="pageBreakPreview" zoomScale="80" zoomScaleNormal="100" zoomScaleSheetLayoutView="80" workbookViewId="0">
      <pane xSplit="2" ySplit="9" topLeftCell="C10" activePane="bottomRight" state="frozen"/>
      <selection pane="topRight"/>
      <selection pane="bottomLeft"/>
      <selection pane="bottomRight" activeCell="A10" sqref="A10"/>
    </sheetView>
  </sheetViews>
  <sheetFormatPr defaultRowHeight="15" outlineLevelRow="1" x14ac:dyDescent="0.25"/>
  <cols>
    <col min="1" max="1" width="3.5703125" bestFit="1" customWidth="1"/>
    <col min="2" max="2" width="64.85546875" bestFit="1" customWidth="1"/>
    <col min="3" max="3" width="16.28515625" customWidth="1"/>
    <col min="4" max="7" width="10.5703125" bestFit="1" customWidth="1"/>
    <col min="9" max="12" width="10" bestFit="1" customWidth="1"/>
    <col min="13" max="13" width="3" bestFit="1" customWidth="1"/>
    <col min="16" max="16" width="11" bestFit="1" customWidth="1"/>
  </cols>
  <sheetData>
    <row r="1" spans="1:19" x14ac:dyDescent="0.25">
      <c r="P1" s="8"/>
      <c r="Q1" s="156"/>
    </row>
    <row r="7" spans="1:19" x14ac:dyDescent="0.25">
      <c r="A7" s="31"/>
    </row>
    <row r="8" spans="1:19" ht="15.75" thickBot="1" x14ac:dyDescent="0.3">
      <c r="A8" s="31"/>
    </row>
    <row r="9" spans="1:19" ht="16.5" thickTop="1" thickBot="1" x14ac:dyDescent="0.3">
      <c r="B9" s="12" t="s">
        <v>20</v>
      </c>
      <c r="C9" s="666" t="s">
        <v>74</v>
      </c>
      <c r="D9" s="666"/>
      <c r="E9" s="666"/>
      <c r="F9" s="666"/>
      <c r="G9" s="666"/>
      <c r="H9" s="666" t="s">
        <v>67</v>
      </c>
      <c r="I9" s="666"/>
      <c r="J9" s="666"/>
      <c r="K9" s="666"/>
      <c r="L9" s="666"/>
    </row>
    <row r="10" spans="1:19" ht="16.5" thickTop="1" thickBot="1" x14ac:dyDescent="0.3">
      <c r="B10" s="13"/>
      <c r="C10" s="128">
        <v>2020</v>
      </c>
      <c r="D10" s="128">
        <f>C10+1</f>
        <v>2021</v>
      </c>
      <c r="E10" s="128">
        <f t="shared" ref="E10:L10" si="0">D10+1</f>
        <v>2022</v>
      </c>
      <c r="F10" s="128">
        <f t="shared" si="0"/>
        <v>2023</v>
      </c>
      <c r="G10" s="128">
        <f t="shared" si="0"/>
        <v>2024</v>
      </c>
      <c r="H10" s="129">
        <f t="shared" si="0"/>
        <v>2025</v>
      </c>
      <c r="I10" s="129">
        <f t="shared" si="0"/>
        <v>2026</v>
      </c>
      <c r="J10" s="129">
        <f t="shared" si="0"/>
        <v>2027</v>
      </c>
      <c r="K10" s="129">
        <f t="shared" si="0"/>
        <v>2028</v>
      </c>
      <c r="L10" s="129">
        <f t="shared" si="0"/>
        <v>2029</v>
      </c>
    </row>
    <row r="11" spans="1:19" ht="16.5" thickTop="1" thickBot="1" x14ac:dyDescent="0.3">
      <c r="A11" s="81" t="s">
        <v>57</v>
      </c>
      <c r="B11" s="12" t="s">
        <v>68</v>
      </c>
      <c r="C11" s="86"/>
      <c r="D11" s="87"/>
      <c r="E11" s="87"/>
      <c r="F11" s="87"/>
      <c r="G11" s="87"/>
      <c r="H11" s="87"/>
      <c r="I11" s="87"/>
      <c r="J11" s="87"/>
      <c r="K11" s="87"/>
      <c r="L11" s="88"/>
    </row>
    <row r="12" spans="1:19" ht="16.5" outlineLevel="1" thickTop="1" thickBot="1" x14ac:dyDescent="0.3">
      <c r="A12" s="81"/>
      <c r="B12" s="16" t="s">
        <v>69</v>
      </c>
      <c r="C12" s="56">
        <f>IS!C11</f>
        <v>16471</v>
      </c>
      <c r="D12" s="56">
        <f>IS!D11</f>
        <v>17421</v>
      </c>
      <c r="E12" s="57">
        <f>IS!E11</f>
        <v>17967</v>
      </c>
      <c r="F12" s="57">
        <f>IS!F11</f>
        <v>19457</v>
      </c>
      <c r="G12" s="57">
        <f>IS!G11</f>
        <v>20101</v>
      </c>
      <c r="H12" s="56">
        <f>IS!H11</f>
        <v>21635.679211618288</v>
      </c>
      <c r="I12" s="56">
        <f>IS!I11</f>
        <v>23388.662017516963</v>
      </c>
      <c r="J12" s="57">
        <f>IS!J11</f>
        <v>25382.149413596042</v>
      </c>
      <c r="K12" s="57">
        <f>IS!K11</f>
        <v>27714.609594664202</v>
      </c>
      <c r="L12" s="57">
        <f>IS!L11</f>
        <v>30458.183413413622</v>
      </c>
      <c r="M12" s="2"/>
      <c r="O12" s="6"/>
      <c r="P12" s="6"/>
      <c r="Q12" s="6"/>
      <c r="R12" s="6"/>
      <c r="S12" s="6"/>
    </row>
    <row r="13" spans="1:19" s="29" customFormat="1" ht="16.5" outlineLevel="1" thickTop="1" thickBot="1" x14ac:dyDescent="0.3">
      <c r="A13" s="534"/>
      <c r="B13" s="535" t="s">
        <v>70</v>
      </c>
      <c r="C13" s="536" t="str">
        <f>IFERROR(C12/B12-1,"n/a")</f>
        <v>n/a</v>
      </c>
      <c r="D13" s="537">
        <f>IFERROR(D12/C12-1,"n/a")</f>
        <v>5.767712950033399E-2</v>
      </c>
      <c r="E13" s="537">
        <f>IFERROR(E12/D12-1,"n/a")</f>
        <v>3.1341484415360776E-2</v>
      </c>
      <c r="F13" s="537">
        <f>IFERROR(F12/E12-1,"n/a")</f>
        <v>8.2929815773362225E-2</v>
      </c>
      <c r="G13" s="537">
        <f>IFERROR(G12/F12-1,"n/a")</f>
        <v>3.3098627743228581E-2</v>
      </c>
      <c r="H13" s="536">
        <f t="shared" ref="H13:L13" si="1">IFERROR(H12/G12-1,"n/a")</f>
        <v>7.6348401155081236E-2</v>
      </c>
      <c r="I13" s="537">
        <f t="shared" si="1"/>
        <v>8.102277671769742E-2</v>
      </c>
      <c r="J13" s="537">
        <f t="shared" si="1"/>
        <v>8.523306697005828E-2</v>
      </c>
      <c r="K13" s="537">
        <f t="shared" si="1"/>
        <v>9.1893721964254382E-2</v>
      </c>
      <c r="L13" s="537">
        <f t="shared" si="1"/>
        <v>9.8993774722976102E-2</v>
      </c>
      <c r="M13" s="538"/>
      <c r="O13" s="539"/>
      <c r="P13" s="539"/>
      <c r="Q13" s="539"/>
      <c r="R13" s="539"/>
      <c r="S13" s="539"/>
    </row>
    <row r="14" spans="1:19" ht="16.5" outlineLevel="1" thickTop="1" thickBot="1" x14ac:dyDescent="0.3">
      <c r="A14" s="81"/>
      <c r="B14" s="16" t="s">
        <v>261</v>
      </c>
      <c r="C14" s="56">
        <f>IS!C13</f>
        <v>10017</v>
      </c>
      <c r="D14" s="56">
        <f>IS!D13</f>
        <v>10375</v>
      </c>
      <c r="E14" s="57">
        <f>IS!E13</f>
        <v>10248</v>
      </c>
      <c r="F14" s="57">
        <f>IS!F13</f>
        <v>11326</v>
      </c>
      <c r="G14" s="57">
        <f>IS!G13</f>
        <v>12161</v>
      </c>
      <c r="H14" s="56">
        <f>IS!H13</f>
        <v>12813.442538209714</v>
      </c>
      <c r="I14" s="56">
        <f>IS!I13</f>
        <v>13777.139094080683</v>
      </c>
      <c r="J14" s="57">
        <f>IS!J13</f>
        <v>14918.442785569716</v>
      </c>
      <c r="K14" s="57">
        <f>IS!K13</f>
        <v>16385.658405244409</v>
      </c>
      <c r="L14" s="57">
        <f>IS!L13</f>
        <v>18063.3170450459</v>
      </c>
      <c r="M14" s="3"/>
      <c r="O14" s="6"/>
      <c r="P14" s="6"/>
      <c r="Q14" s="6"/>
      <c r="R14" s="6"/>
      <c r="S14" s="6"/>
    </row>
    <row r="15" spans="1:19" s="29" customFormat="1" ht="16.5" outlineLevel="1" thickTop="1" thickBot="1" x14ac:dyDescent="0.3">
      <c r="A15" s="534"/>
      <c r="B15" s="535" t="s">
        <v>262</v>
      </c>
      <c r="C15" s="536">
        <f>IFERROR(C14/C$12,"-")</f>
        <v>0.60815979600509984</v>
      </c>
      <c r="D15" s="537">
        <f>IFERROR(D14/D$12,"-")</f>
        <v>0.59554560587796335</v>
      </c>
      <c r="E15" s="537">
        <f>IFERROR(E14/E$12,"-")</f>
        <v>0.57037902821840036</v>
      </c>
      <c r="F15" s="537">
        <f>IFERROR(F14/F$12,"-")</f>
        <v>0.58210412704939096</v>
      </c>
      <c r="G15" s="537">
        <f>IFERROR(G14/G$12,"-")</f>
        <v>0.60499477637928456</v>
      </c>
      <c r="H15" s="536">
        <f t="shared" ref="H15:L15" si="2">IFERROR(H14/H$12,"-")</f>
        <v>0.59223666670602781</v>
      </c>
      <c r="I15" s="537">
        <f t="shared" si="2"/>
        <v>0.58905204084621343</v>
      </c>
      <c r="J15" s="537">
        <f t="shared" si="2"/>
        <v>0.58775332783986356</v>
      </c>
      <c r="K15" s="537">
        <f t="shared" si="2"/>
        <v>0.59122818776415609</v>
      </c>
      <c r="L15" s="537">
        <f t="shared" si="2"/>
        <v>0.59305299990710902</v>
      </c>
      <c r="M15" s="538"/>
      <c r="O15" s="539"/>
      <c r="P15" s="539"/>
      <c r="Q15" s="539"/>
      <c r="R15" s="539"/>
      <c r="S15" s="539"/>
    </row>
    <row r="16" spans="1:19" ht="16.5" outlineLevel="1" thickTop="1" thickBot="1" x14ac:dyDescent="0.3">
      <c r="A16" s="81"/>
      <c r="B16" s="16" t="s">
        <v>142</v>
      </c>
      <c r="C16" s="56">
        <f>IS!C17</f>
        <v>3885</v>
      </c>
      <c r="D16" s="56">
        <f>IS!D17</f>
        <v>3332</v>
      </c>
      <c r="E16" s="57">
        <f>IS!E17</f>
        <v>2893</v>
      </c>
      <c r="F16" s="57">
        <f>IS!F17</f>
        <v>3984</v>
      </c>
      <c r="G16" s="57">
        <f>IS!G17</f>
        <v>4268</v>
      </c>
      <c r="H16" s="56">
        <f>IS!H17</f>
        <v>4665.2693102355161</v>
      </c>
      <c r="I16" s="56">
        <f>IS!I17</f>
        <v>4948.5823133013055</v>
      </c>
      <c r="J16" s="57">
        <f>IS!J17</f>
        <v>5307.1150870705205</v>
      </c>
      <c r="K16" s="57">
        <f>IS!K17</f>
        <v>5838.827173162259</v>
      </c>
      <c r="L16" s="57">
        <f>IS!L17</f>
        <v>6452.8829272566982</v>
      </c>
      <c r="M16" s="3"/>
      <c r="O16" s="6"/>
      <c r="P16" s="6"/>
      <c r="Q16" s="6"/>
      <c r="R16" s="6"/>
      <c r="S16" s="6"/>
    </row>
    <row r="17" spans="1:19" s="29" customFormat="1" ht="16.5" outlineLevel="1" thickTop="1" thickBot="1" x14ac:dyDescent="0.3">
      <c r="A17" s="534"/>
      <c r="B17" s="535" t="s">
        <v>263</v>
      </c>
      <c r="C17" s="536">
        <f>IFERROR(C16/C$12,"-")</f>
        <v>0.2358691032724182</v>
      </c>
      <c r="D17" s="537">
        <f>IFERROR(D16/D$12,"-")</f>
        <v>0.19126341771425293</v>
      </c>
      <c r="E17" s="537">
        <f>IFERROR(E16/E$12,"-")</f>
        <v>0.16101742082707185</v>
      </c>
      <c r="F17" s="537">
        <f>IFERROR(F16/F$12,"-")</f>
        <v>0.20475921262270649</v>
      </c>
      <c r="G17" s="537">
        <f>IFERROR(G16/G$12,"-")</f>
        <v>0.21232774488831402</v>
      </c>
      <c r="H17" s="536">
        <f t="shared" ref="H17:L17" si="3">IFERROR(H16/H$12,"-")</f>
        <v>0.21562851180240655</v>
      </c>
      <c r="I17" s="537">
        <f t="shared" si="3"/>
        <v>0.21158039350840419</v>
      </c>
      <c r="J17" s="537">
        <f t="shared" si="3"/>
        <v>0.20908848185361895</v>
      </c>
      <c r="K17" s="537">
        <f t="shared" si="3"/>
        <v>0.21067686893509005</v>
      </c>
      <c r="L17" s="537">
        <f t="shared" si="3"/>
        <v>0.21186040019756669</v>
      </c>
      <c r="M17" s="538"/>
      <c r="O17" s="539"/>
      <c r="P17" s="539"/>
      <c r="Q17" s="539"/>
      <c r="R17" s="539"/>
      <c r="S17" s="539"/>
    </row>
    <row r="18" spans="1:19" ht="16.5" outlineLevel="1" thickTop="1" thickBot="1" x14ac:dyDescent="0.3">
      <c r="A18" s="81"/>
      <c r="B18" s="16" t="s">
        <v>264</v>
      </c>
      <c r="C18" s="56">
        <f>IS!C20</f>
        <v>3647</v>
      </c>
      <c r="D18" s="56">
        <f>IS!D20</f>
        <v>3087</v>
      </c>
      <c r="E18" s="57">
        <f>IS!E20</f>
        <v>2660</v>
      </c>
      <c r="F18" s="57">
        <f>IS!F20</f>
        <v>3392</v>
      </c>
      <c r="G18" s="57">
        <f>IS!G20</f>
        <v>3956</v>
      </c>
      <c r="H18" s="56">
        <f>IS!H20</f>
        <v>4264.3839276860117</v>
      </c>
      <c r="I18" s="56">
        <f>IS!I20</f>
        <v>4572.676619766331</v>
      </c>
      <c r="J18" s="57">
        <f>IS!J20</f>
        <v>4931.2253590307992</v>
      </c>
      <c r="K18" s="57">
        <f>IS!K20</f>
        <v>5435.2538077065165</v>
      </c>
      <c r="L18" s="57">
        <f>IS!L20</f>
        <v>6106.5442059727839</v>
      </c>
      <c r="M18" s="3"/>
      <c r="O18" s="6"/>
      <c r="P18" s="6"/>
      <c r="Q18" s="6"/>
      <c r="R18" s="6"/>
      <c r="S18" s="6"/>
    </row>
    <row r="19" spans="1:19" s="29" customFormat="1" ht="16.5" outlineLevel="1" thickTop="1" thickBot="1" x14ac:dyDescent="0.3">
      <c r="A19" s="534"/>
      <c r="B19" s="535" t="s">
        <v>71</v>
      </c>
      <c r="C19" s="536">
        <f>IFERROR(C18/C$12,"-")</f>
        <v>0.22141946451338718</v>
      </c>
      <c r="D19" s="537">
        <f>IFERROR(D18/D$12,"-")</f>
        <v>0.17719993111761667</v>
      </c>
      <c r="E19" s="537">
        <f>IFERROR(E18/E$12,"-")</f>
        <v>0.14804920131351923</v>
      </c>
      <c r="F19" s="537">
        <f>IFERROR(F18/F$12,"-")</f>
        <v>0.17433314488358945</v>
      </c>
      <c r="G19" s="537">
        <f>IFERROR(G18/G$12,"-")</f>
        <v>0.19680612904830605</v>
      </c>
      <c r="H19" s="536">
        <f t="shared" ref="H19:L19" si="4">IFERROR(H18/H$12,"-")</f>
        <v>0.19709960967604159</v>
      </c>
      <c r="I19" s="537">
        <f t="shared" si="4"/>
        <v>0.19550826021350087</v>
      </c>
      <c r="J19" s="537">
        <f t="shared" si="4"/>
        <v>0.19427926605732493</v>
      </c>
      <c r="K19" s="537">
        <f t="shared" si="4"/>
        <v>0.19611511355198549</v>
      </c>
      <c r="L19" s="537">
        <f t="shared" si="4"/>
        <v>0.20048944229823942</v>
      </c>
      <c r="M19" s="538"/>
      <c r="O19" s="539"/>
      <c r="P19" s="539"/>
      <c r="Q19" s="539"/>
      <c r="R19" s="539"/>
      <c r="S19" s="539"/>
    </row>
    <row r="20" spans="1:19" ht="16.5" outlineLevel="1" thickTop="1" thickBot="1" x14ac:dyDescent="0.3">
      <c r="A20" s="81"/>
      <c r="B20" s="16" t="s">
        <v>72</v>
      </c>
      <c r="C20" s="56">
        <f>IS!C24</f>
        <v>2695</v>
      </c>
      <c r="D20" s="56">
        <f>IS!D24</f>
        <v>2166</v>
      </c>
      <c r="E20" s="57">
        <f>IS!E24</f>
        <v>1785</v>
      </c>
      <c r="F20" s="57">
        <f>IS!F24</f>
        <v>2300</v>
      </c>
      <c r="G20" s="57">
        <f>IS!G24</f>
        <v>2889</v>
      </c>
      <c r="H20" s="56">
        <f>IS!H24</f>
        <v>3051.0927208333669</v>
      </c>
      <c r="I20" s="56">
        <f>IS!I24</f>
        <v>3271.6707936906105</v>
      </c>
      <c r="J20" s="57">
        <f>IS!J24</f>
        <v>3528.2061964556751</v>
      </c>
      <c r="K20" s="57">
        <f>IS!K24</f>
        <v>3888.8298074920049</v>
      </c>
      <c r="L20" s="57">
        <f>IS!L24</f>
        <v>4369.1264417650218</v>
      </c>
      <c r="M20" s="3"/>
      <c r="O20" s="6"/>
      <c r="P20" s="6"/>
      <c r="Q20" s="6"/>
      <c r="R20" s="6"/>
      <c r="S20" s="6"/>
    </row>
    <row r="21" spans="1:19" s="29" customFormat="1" ht="15.75" outlineLevel="1" thickTop="1" x14ac:dyDescent="0.25">
      <c r="A21" s="534"/>
      <c r="B21" s="535" t="s">
        <v>73</v>
      </c>
      <c r="C21" s="536">
        <f>IFERROR(C20/C$12,"-")</f>
        <v>0.16362090947726307</v>
      </c>
      <c r="D21" s="537">
        <f>IFERROR(D20/D$12,"-")</f>
        <v>0.12433270191148614</v>
      </c>
      <c r="E21" s="537">
        <f>IFERROR(E20/E$12,"-")</f>
        <v>9.9348806144598428E-2</v>
      </c>
      <c r="F21" s="537">
        <f>IFERROR(F20/F$12,"-")</f>
        <v>0.1182093847972452</v>
      </c>
      <c r="G21" s="537">
        <f>IFERROR(G20/G$12,"-")</f>
        <v>0.14372419282622756</v>
      </c>
      <c r="H21" s="536">
        <f t="shared" ref="H21:L21" si="5">IFERROR(H20/H$12,"-")</f>
        <v>0.14102135139787708</v>
      </c>
      <c r="I21" s="537">
        <f t="shared" si="5"/>
        <v>0.13988276846449316</v>
      </c>
      <c r="J21" s="537">
        <f t="shared" si="5"/>
        <v>0.1390034444665974</v>
      </c>
      <c r="K21" s="537">
        <f t="shared" si="5"/>
        <v>0.14031696150036002</v>
      </c>
      <c r="L21" s="537">
        <f t="shared" si="5"/>
        <v>0.14344671783153298</v>
      </c>
      <c r="M21" s="538"/>
      <c r="O21" s="539"/>
      <c r="P21" s="539"/>
      <c r="Q21" s="539"/>
      <c r="R21" s="539"/>
      <c r="S21" s="539"/>
    </row>
    <row r="22" spans="1:19" ht="15.75" outlineLevel="1" thickBot="1" x14ac:dyDescent="0.3">
      <c r="A22" s="81"/>
      <c r="B22" s="4"/>
      <c r="C22" s="7"/>
      <c r="D22" s="7"/>
      <c r="E22" s="7"/>
      <c r="F22" s="7"/>
      <c r="G22" s="7"/>
      <c r="H22" s="7"/>
      <c r="I22" s="7"/>
      <c r="J22" s="7"/>
      <c r="K22" s="7"/>
      <c r="L22" s="7"/>
      <c r="M22" s="2"/>
      <c r="O22" s="6"/>
      <c r="P22" s="6"/>
      <c r="Q22" s="6"/>
      <c r="R22" s="6"/>
      <c r="S22" s="6"/>
    </row>
    <row r="23" spans="1:19" ht="16.5" outlineLevel="1" thickTop="1" thickBot="1" x14ac:dyDescent="0.3">
      <c r="A23" s="81"/>
      <c r="B23" s="16" t="s">
        <v>265</v>
      </c>
      <c r="C23" s="59">
        <f>IS!C26</f>
        <v>3.15</v>
      </c>
      <c r="D23" s="59">
        <f>IS!D26</f>
        <v>2.56</v>
      </c>
      <c r="E23" s="60">
        <f>IS!E26</f>
        <v>2.13</v>
      </c>
      <c r="F23" s="60">
        <f>IS!F26</f>
        <v>2.78</v>
      </c>
      <c r="G23" s="60">
        <f>IS!G26</f>
        <v>3.53</v>
      </c>
      <c r="H23" s="59">
        <f>IS!H26</f>
        <v>3.772174392457821</v>
      </c>
      <c r="I23" s="59">
        <f>IS!I26</f>
        <v>4.1015399264438352</v>
      </c>
      <c r="J23" s="60">
        <f>IS!J26</f>
        <v>4.4871373127051148</v>
      </c>
      <c r="K23" s="60">
        <f>IS!K26</f>
        <v>5.0162130710885444</v>
      </c>
      <c r="L23" s="60">
        <f>IS!L26</f>
        <v>5.7169365730660564</v>
      </c>
      <c r="M23" s="5"/>
      <c r="O23" s="6"/>
      <c r="P23" s="6"/>
      <c r="Q23" s="6"/>
      <c r="R23" s="6"/>
      <c r="S23" s="6"/>
    </row>
    <row r="24" spans="1:19" ht="16.5" outlineLevel="1" thickTop="1" thickBot="1" x14ac:dyDescent="0.3">
      <c r="A24" s="81"/>
      <c r="B24" s="16" t="s">
        <v>266</v>
      </c>
      <c r="C24" s="59">
        <f>IS!C27</f>
        <v>3.14</v>
      </c>
      <c r="D24" s="59">
        <f>IS!D27</f>
        <v>2.5499999999999998</v>
      </c>
      <c r="E24" s="60">
        <f>IS!E27</f>
        <v>2.13</v>
      </c>
      <c r="F24" s="60">
        <f>IS!F27</f>
        <v>2.77</v>
      </c>
      <c r="G24" s="60">
        <f>IS!G27</f>
        <v>3.51</v>
      </c>
      <c r="H24" s="59">
        <f>IS!H27</f>
        <v>3.7556290600044306</v>
      </c>
      <c r="I24" s="59">
        <f>IS!I27</f>
        <v>4.083299079979863</v>
      </c>
      <c r="J24" s="60">
        <f>IS!J27</f>
        <v>4.4658827442872155</v>
      </c>
      <c r="K24" s="60">
        <f>IS!K27</f>
        <v>4.9928799916050073</v>
      </c>
      <c r="L24" s="60">
        <f>IS!L27</f>
        <v>5.6898154929307152</v>
      </c>
      <c r="M24" s="5"/>
      <c r="O24" s="6"/>
      <c r="P24" s="6"/>
      <c r="Q24" s="6"/>
      <c r="R24" s="6"/>
      <c r="S24" s="6"/>
    </row>
    <row r="25" spans="1:19" ht="16.5" thickTop="1" thickBot="1" x14ac:dyDescent="0.3">
      <c r="A25" s="81"/>
    </row>
    <row r="26" spans="1:19" ht="16.5" thickTop="1" thickBot="1" x14ac:dyDescent="0.3">
      <c r="A26" s="81" t="s">
        <v>118</v>
      </c>
      <c r="B26" s="26" t="s">
        <v>76</v>
      </c>
      <c r="C26" s="86"/>
      <c r="D26" s="87"/>
      <c r="E26" s="87"/>
      <c r="F26" s="87"/>
      <c r="G26" s="87"/>
      <c r="H26" s="87"/>
      <c r="I26" s="87"/>
      <c r="J26" s="87"/>
      <c r="K26" s="87"/>
      <c r="L26" s="88"/>
    </row>
    <row r="27" spans="1:19" ht="16.5" outlineLevel="1" thickTop="1" thickBot="1" x14ac:dyDescent="0.3">
      <c r="A27" s="81"/>
      <c r="B27" s="16" t="s">
        <v>77</v>
      </c>
      <c r="C27" s="56">
        <f>BS!C17</f>
        <v>4338</v>
      </c>
      <c r="D27" s="56">
        <f>BS!D17</f>
        <v>4397</v>
      </c>
      <c r="E27" s="57">
        <f>BS!E17</f>
        <v>5113</v>
      </c>
      <c r="F27" s="57">
        <f>BS!F17</f>
        <v>5279</v>
      </c>
      <c r="G27" s="57">
        <f>BS!G17</f>
        <v>5317</v>
      </c>
      <c r="H27" s="56">
        <f>BS!H17</f>
        <v>5114.6867333751106</v>
      </c>
      <c r="I27" s="56">
        <f>BS!I17</f>
        <v>5221.292754974852</v>
      </c>
      <c r="J27" s="57">
        <f>BS!J17</f>
        <v>5730.9002553814826</v>
      </c>
      <c r="K27" s="57">
        <f>BS!K17</f>
        <v>6141.6985076301962</v>
      </c>
      <c r="L27" s="57">
        <f>BS!L17</f>
        <v>6716.7408405317901</v>
      </c>
    </row>
    <row r="28" spans="1:19" ht="16.5" outlineLevel="1" thickTop="1" thickBot="1" x14ac:dyDescent="0.3">
      <c r="A28" s="81"/>
      <c r="B28" s="16" t="s">
        <v>78</v>
      </c>
      <c r="C28" s="56">
        <f>BS!C24</f>
        <v>11582</v>
      </c>
      <c r="D28" s="56">
        <f>BS!D24</f>
        <v>10643</v>
      </c>
      <c r="E28" s="57">
        <f>BS!E24</f>
        <v>10618</v>
      </c>
      <c r="F28" s="57">
        <f>BS!F24</f>
        <v>11114</v>
      </c>
      <c r="G28" s="57">
        <f>BS!G24</f>
        <v>10729</v>
      </c>
      <c r="H28" s="56">
        <f>BS!H24</f>
        <v>11506.422558293609</v>
      </c>
      <c r="I28" s="56">
        <f>BS!I24</f>
        <v>12008.91727037849</v>
      </c>
      <c r="J28" s="57">
        <f>BS!J24</f>
        <v>12650.625284951726</v>
      </c>
      <c r="K28" s="57">
        <f>BS!K24</f>
        <v>13320.61090410366</v>
      </c>
      <c r="L28" s="57">
        <f>BS!L24</f>
        <v>14109.764317591898</v>
      </c>
    </row>
    <row r="29" spans="1:19" ht="16.5" outlineLevel="1" thickTop="1" thickBot="1" x14ac:dyDescent="0.3">
      <c r="A29" s="81"/>
      <c r="B29" s="137" t="s">
        <v>24</v>
      </c>
      <c r="C29" s="138">
        <f>BS!C26</f>
        <v>15920</v>
      </c>
      <c r="D29" s="139">
        <f>BS!D26</f>
        <v>15040</v>
      </c>
      <c r="E29" s="139">
        <f>BS!E26</f>
        <v>15731</v>
      </c>
      <c r="F29" s="139">
        <f>BS!F26</f>
        <v>16393</v>
      </c>
      <c r="G29" s="139">
        <f>BS!G26</f>
        <v>16046</v>
      </c>
      <c r="H29" s="139">
        <f>BS!H26</f>
        <v>16621.109291668719</v>
      </c>
      <c r="I29" s="139">
        <f>BS!I26</f>
        <v>17230.210025353343</v>
      </c>
      <c r="J29" s="139">
        <f>BS!J26</f>
        <v>18381.525540333208</v>
      </c>
      <c r="K29" s="139">
        <f>BS!K26</f>
        <v>19462.309411733855</v>
      </c>
      <c r="L29" s="139">
        <f>BS!L26</f>
        <v>20826.505158123688</v>
      </c>
    </row>
    <row r="30" spans="1:19" ht="16.5" outlineLevel="1" thickTop="1" thickBot="1" x14ac:dyDescent="0.3">
      <c r="A30" s="81"/>
      <c r="B30" s="16" t="s">
        <v>31</v>
      </c>
      <c r="C30" s="56">
        <f>BS!C35</f>
        <v>4404</v>
      </c>
      <c r="D30" s="56">
        <f>BS!D35</f>
        <v>4051</v>
      </c>
      <c r="E30" s="57">
        <f>BS!E35</f>
        <v>4004</v>
      </c>
      <c r="F30" s="57">
        <f>BS!F35</f>
        <v>4741</v>
      </c>
      <c r="G30" s="57">
        <f>BS!G35</f>
        <v>5759</v>
      </c>
      <c r="H30" s="56">
        <f>BS!H35</f>
        <v>5830.0156813942958</v>
      </c>
      <c r="I30" s="56">
        <f>BS!I35</f>
        <v>6182.0863594494494</v>
      </c>
      <c r="J30" s="57">
        <f>BS!J35</f>
        <v>6668.5123994529658</v>
      </c>
      <c r="K30" s="57">
        <f>BS!K35</f>
        <v>7282.1459488913843</v>
      </c>
      <c r="L30" s="57">
        <f>BS!L35</f>
        <v>8025.0597610224868</v>
      </c>
    </row>
    <row r="31" spans="1:19" ht="16.5" outlineLevel="1" thickTop="1" thickBot="1" x14ac:dyDescent="0.3">
      <c r="A31" s="81"/>
      <c r="B31" s="16" t="s">
        <v>32</v>
      </c>
      <c r="C31" s="56">
        <f>BS!C40</f>
        <v>10415</v>
      </c>
      <c r="D31" s="56">
        <f>BS!D40</f>
        <v>10018</v>
      </c>
      <c r="E31" s="57">
        <f>BS!E40</f>
        <v>10921</v>
      </c>
      <c r="F31" s="57">
        <f>BS!F40</f>
        <v>10695</v>
      </c>
      <c r="G31" s="57">
        <f>BS!G40</f>
        <v>9743</v>
      </c>
      <c r="H31" s="56">
        <f>BS!H40</f>
        <v>10215.507953865261</v>
      </c>
      <c r="I31" s="56">
        <f>BS!I40</f>
        <v>10715.379003533675</v>
      </c>
      <c r="J31" s="57">
        <f>BS!J40</f>
        <v>11709.554341274676</v>
      </c>
      <c r="K31" s="57">
        <f>BS!K40</f>
        <v>12424.907936566193</v>
      </c>
      <c r="L31" s="57">
        <f>BS!L40</f>
        <v>13498.405952551406</v>
      </c>
    </row>
    <row r="32" spans="1:19" ht="16.5" outlineLevel="1" thickTop="1" thickBot="1" x14ac:dyDescent="0.3">
      <c r="A32" s="81"/>
      <c r="B32" s="16" t="s">
        <v>75</v>
      </c>
      <c r="C32" s="56">
        <f>BS!C53</f>
        <v>1101</v>
      </c>
      <c r="D32" s="56">
        <f>BS!D53</f>
        <v>971</v>
      </c>
      <c r="E32" s="57">
        <f>BS!E53</f>
        <v>806</v>
      </c>
      <c r="F32" s="57">
        <f>BS!F53</f>
        <v>957</v>
      </c>
      <c r="G32" s="57">
        <f>BS!G53</f>
        <v>544</v>
      </c>
      <c r="H32" s="56">
        <f>BS!H53</f>
        <v>575.58565640915913</v>
      </c>
      <c r="I32" s="56">
        <f>BS!I53</f>
        <v>332.74466237020533</v>
      </c>
      <c r="J32" s="57">
        <f>BS!J53</f>
        <v>3.4587996055597614</v>
      </c>
      <c r="K32" s="57">
        <f>BS!K53</f>
        <v>-244.74447372372379</v>
      </c>
      <c r="L32" s="57">
        <f>BS!L53</f>
        <v>-696.96055545021227</v>
      </c>
    </row>
    <row r="33" spans="1:20" ht="16.5" outlineLevel="1" thickTop="1" thickBot="1" x14ac:dyDescent="0.3">
      <c r="A33" s="81"/>
      <c r="B33" s="137" t="s">
        <v>36</v>
      </c>
      <c r="C33" s="138">
        <f>BS!C55</f>
        <v>15920</v>
      </c>
      <c r="D33" s="139">
        <f>BS!D55</f>
        <v>15040</v>
      </c>
      <c r="E33" s="139">
        <f>BS!E55</f>
        <v>15731</v>
      </c>
      <c r="F33" s="139">
        <f>BS!F55</f>
        <v>16393</v>
      </c>
      <c r="G33" s="139">
        <f>BS!G55</f>
        <v>16046</v>
      </c>
      <c r="H33" s="139">
        <f>BS!H55</f>
        <v>16621.109291668716</v>
      </c>
      <c r="I33" s="139">
        <f>BS!I55</f>
        <v>17230.210025353328</v>
      </c>
      <c r="J33" s="139">
        <f>BS!J55</f>
        <v>18381.525540333201</v>
      </c>
      <c r="K33" s="139">
        <f>BS!K55</f>
        <v>19462.309411733855</v>
      </c>
      <c r="L33" s="139">
        <f>BS!L55</f>
        <v>20826.50515812368</v>
      </c>
    </row>
    <row r="34" spans="1:20" ht="16.5" outlineLevel="1" thickTop="1" thickBot="1" x14ac:dyDescent="0.3">
      <c r="A34" s="81"/>
      <c r="D34" s="61"/>
      <c r="E34" s="61"/>
    </row>
    <row r="35" spans="1:20" ht="16.5" outlineLevel="1" thickTop="1" thickBot="1" x14ac:dyDescent="0.3">
      <c r="A35" s="81"/>
      <c r="B35" s="4" t="s">
        <v>39</v>
      </c>
      <c r="C35" s="62">
        <f>C33-C29</f>
        <v>0</v>
      </c>
      <c r="D35" s="62">
        <f>D33-D29</f>
        <v>0</v>
      </c>
      <c r="E35" s="62">
        <f>E33-E29</f>
        <v>0</v>
      </c>
      <c r="F35" s="62">
        <f>F33-F29</f>
        <v>0</v>
      </c>
      <c r="G35" s="62">
        <f>G33-G29</f>
        <v>0</v>
      </c>
      <c r="H35" s="62">
        <f t="shared" ref="H35:L35" si="6">H33-H29</f>
        <v>0</v>
      </c>
      <c r="I35" s="62">
        <f t="shared" si="6"/>
        <v>0</v>
      </c>
      <c r="J35" s="62">
        <f t="shared" si="6"/>
        <v>0</v>
      </c>
      <c r="K35" s="62">
        <f t="shared" si="6"/>
        <v>0</v>
      </c>
      <c r="L35" s="62">
        <f t="shared" si="6"/>
        <v>0</v>
      </c>
    </row>
    <row r="36" spans="1:20" ht="15.75" thickBot="1" x14ac:dyDescent="0.3">
      <c r="A36" s="81"/>
      <c r="H36" s="266"/>
      <c r="I36" s="266"/>
      <c r="J36" s="266"/>
      <c r="K36" s="266"/>
      <c r="L36" s="266"/>
      <c r="O36" s="266">
        <f>H36/2</f>
        <v>0</v>
      </c>
      <c r="P36" s="266">
        <f t="shared" ref="P36:T36" si="7">I36/2</f>
        <v>0</v>
      </c>
      <c r="Q36" s="266">
        <f t="shared" si="7"/>
        <v>0</v>
      </c>
      <c r="R36" s="266">
        <f t="shared" si="7"/>
        <v>0</v>
      </c>
      <c r="S36" s="266">
        <f t="shared" si="7"/>
        <v>0</v>
      </c>
      <c r="T36" s="266">
        <f t="shared" si="7"/>
        <v>0</v>
      </c>
    </row>
    <row r="37" spans="1:20" ht="16.5" thickTop="1" thickBot="1" x14ac:dyDescent="0.3">
      <c r="A37" s="81" t="s">
        <v>119</v>
      </c>
      <c r="B37" s="63" t="s">
        <v>81</v>
      </c>
      <c r="C37" s="86"/>
      <c r="D37" s="87"/>
      <c r="E37" s="87"/>
      <c r="F37" s="87"/>
      <c r="G37" s="87"/>
      <c r="H37" s="87"/>
      <c r="I37" s="87"/>
      <c r="J37" s="87"/>
      <c r="K37" s="87"/>
      <c r="L37" s="88"/>
    </row>
    <row r="38" spans="1:20" ht="16.5" outlineLevel="1" thickTop="1" thickBot="1" x14ac:dyDescent="0.3">
      <c r="B38" s="28" t="s">
        <v>267</v>
      </c>
      <c r="C38" s="37">
        <f>CFS!C29</f>
        <v>3719</v>
      </c>
      <c r="D38" s="37">
        <f>CFS!D29</f>
        <v>3325</v>
      </c>
      <c r="E38" s="37">
        <f>CFS!E29</f>
        <v>2556</v>
      </c>
      <c r="F38" s="37">
        <f>CFS!F29</f>
        <v>3745</v>
      </c>
      <c r="G38" s="37">
        <f>CFS!G29</f>
        <v>4107</v>
      </c>
      <c r="H38" s="37">
        <f>CFS!H29</f>
        <v>3718.1711349664238</v>
      </c>
      <c r="I38" s="37">
        <f>CFS!I29</f>
        <v>3726.0903392078708</v>
      </c>
      <c r="J38" s="37">
        <f>CFS!J29</f>
        <v>4045.9761621872199</v>
      </c>
      <c r="K38" s="37">
        <f>CFS!K29</f>
        <v>4886.2703081094405</v>
      </c>
      <c r="L38" s="37">
        <f>CFS!L29</f>
        <v>5379.3099722259585</v>
      </c>
    </row>
    <row r="39" spans="1:20" ht="16.5" outlineLevel="1" thickTop="1" thickBot="1" x14ac:dyDescent="0.3">
      <c r="B39" s="28" t="s">
        <v>271</v>
      </c>
      <c r="C39" s="37">
        <f>CFS!C38</f>
        <v>-779</v>
      </c>
      <c r="D39" s="37">
        <f>CFS!D38</f>
        <v>-592</v>
      </c>
      <c r="E39" s="37">
        <f>CFS!E38</f>
        <v>-1601</v>
      </c>
      <c r="F39" s="37">
        <f>CFS!F38</f>
        <v>-742</v>
      </c>
      <c r="G39" s="37">
        <f>CFS!G38</f>
        <v>-534</v>
      </c>
      <c r="H39" s="37">
        <f>CFS!H38</f>
        <v>-693.72491316926187</v>
      </c>
      <c r="I39" s="37">
        <f>CFS!I38</f>
        <v>-783.47970480238837</v>
      </c>
      <c r="J39" s="37">
        <f>CFS!J38</f>
        <v>-855.08751117706993</v>
      </c>
      <c r="K39" s="37">
        <f>CFS!K38</f>
        <v>-905.67765474870225</v>
      </c>
      <c r="L39" s="37">
        <f>CFS!L38</f>
        <v>-973.6781078080777</v>
      </c>
    </row>
    <row r="40" spans="1:20" ht="16.5" outlineLevel="1" thickTop="1" thickBot="1" x14ac:dyDescent="0.3">
      <c r="B40" s="28" t="s">
        <v>272</v>
      </c>
      <c r="C40" s="37">
        <f>CFS!C49</f>
        <v>-2919</v>
      </c>
      <c r="D40" s="37">
        <f>CFS!D49</f>
        <v>-2774</v>
      </c>
      <c r="E40" s="37">
        <f>CFS!E49</f>
        <v>-952</v>
      </c>
      <c r="F40" s="37">
        <f>CFS!F49</f>
        <v>-2793</v>
      </c>
      <c r="G40" s="37">
        <f>CFS!G49</f>
        <v>-3389</v>
      </c>
      <c r="H40" s="37">
        <f>CFS!H49</f>
        <v>-3709.4841621512205</v>
      </c>
      <c r="I40" s="37">
        <f>CFS!I49</f>
        <v>-3253.5726940514237</v>
      </c>
      <c r="J40" s="37">
        <f>CFS!J49</f>
        <v>-3190.8886510101502</v>
      </c>
      <c r="K40" s="37">
        <f>CFS!K49</f>
        <v>-3980.592653360738</v>
      </c>
      <c r="L40" s="37">
        <f>CFS!L49</f>
        <v>-4405.6318644178809</v>
      </c>
    </row>
    <row r="41" spans="1:20" ht="16.5" outlineLevel="1" thickTop="1" thickBot="1" x14ac:dyDescent="0.3">
      <c r="B41" s="28" t="s">
        <v>273</v>
      </c>
      <c r="C41" s="37">
        <f>CFS!C52</f>
        <v>-16</v>
      </c>
      <c r="D41" s="37">
        <f>CFS!D52</f>
        <v>-15</v>
      </c>
      <c r="E41" s="37">
        <f>CFS!E52</f>
        <v>-60</v>
      </c>
      <c r="F41" s="37">
        <f>CFS!F52</f>
        <v>-19</v>
      </c>
      <c r="G41" s="37">
        <f>CFS!G52</f>
        <v>-54</v>
      </c>
      <c r="H41" s="37">
        <f>CFS!H52</f>
        <v>0</v>
      </c>
      <c r="I41" s="37">
        <f>CFS!I52</f>
        <v>0</v>
      </c>
      <c r="J41" s="37">
        <f>CFS!J52</f>
        <v>0</v>
      </c>
      <c r="K41" s="37">
        <f>CFS!K52</f>
        <v>0</v>
      </c>
      <c r="L41" s="37">
        <f>CFS!L52</f>
        <v>0</v>
      </c>
    </row>
    <row r="42" spans="1:20" ht="16.5" outlineLevel="1" thickTop="1" thickBot="1" x14ac:dyDescent="0.3">
      <c r="B42" s="140" t="s">
        <v>274</v>
      </c>
      <c r="C42" s="141">
        <f>SUM(C38:C41)</f>
        <v>5</v>
      </c>
      <c r="D42" s="141">
        <f>SUM(D38:D41)</f>
        <v>-56</v>
      </c>
      <c r="E42" s="141">
        <f>SUM(E38:E41)</f>
        <v>-57</v>
      </c>
      <c r="F42" s="141">
        <f>SUM(F38:F41)</f>
        <v>191</v>
      </c>
      <c r="G42" s="141">
        <f>SUM(G38:G41)</f>
        <v>130</v>
      </c>
      <c r="H42" s="141">
        <f t="shared" ref="H42:L42" si="8">SUM(H38:H41)</f>
        <v>-685.03794035405872</v>
      </c>
      <c r="I42" s="141">
        <f t="shared" si="8"/>
        <v>-310.96205964594128</v>
      </c>
      <c r="J42" s="141">
        <f t="shared" si="8"/>
        <v>0</v>
      </c>
      <c r="K42" s="141">
        <f t="shared" si="8"/>
        <v>0</v>
      </c>
      <c r="L42" s="141">
        <f t="shared" si="8"/>
        <v>0</v>
      </c>
    </row>
    <row r="43" spans="1:20" ht="16.5" outlineLevel="1" thickTop="1" thickBot="1" x14ac:dyDescent="0.3">
      <c r="B43" s="36" t="s">
        <v>275</v>
      </c>
      <c r="C43" s="37">
        <f>CFS!C54</f>
        <v>883</v>
      </c>
      <c r="D43" s="37">
        <f>CFS!D54</f>
        <v>888</v>
      </c>
      <c r="E43" s="37">
        <f>CFS!E54</f>
        <v>832</v>
      </c>
      <c r="F43" s="37">
        <f>CFS!F54</f>
        <v>775</v>
      </c>
      <c r="G43" s="37">
        <f>CFS!G54</f>
        <v>966</v>
      </c>
      <c r="H43" s="37">
        <f>CFS!H54</f>
        <v>1096</v>
      </c>
      <c r="I43" s="37">
        <f>CFS!I54</f>
        <v>410.96205964594174</v>
      </c>
      <c r="J43" s="37">
        <f>CFS!J54</f>
        <v>100.00000000000045</v>
      </c>
      <c r="K43" s="37">
        <f>CFS!K54</f>
        <v>100.00000000000045</v>
      </c>
      <c r="L43" s="37">
        <f>CFS!L54</f>
        <v>100.00000000000045</v>
      </c>
    </row>
    <row r="44" spans="1:20" s="65" customFormat="1" ht="16.5" outlineLevel="1" thickTop="1" thickBot="1" x14ac:dyDescent="0.3">
      <c r="B44" s="142" t="s">
        <v>276</v>
      </c>
      <c r="C44" s="141">
        <f>C42+C43</f>
        <v>888</v>
      </c>
      <c r="D44" s="141">
        <f>D42+D43</f>
        <v>832</v>
      </c>
      <c r="E44" s="141">
        <f>E42+E43</f>
        <v>775</v>
      </c>
      <c r="F44" s="141">
        <f>F42+F43</f>
        <v>966</v>
      </c>
      <c r="G44" s="141">
        <f>G42+G43</f>
        <v>1096</v>
      </c>
      <c r="H44" s="141">
        <f t="shared" ref="H44:L44" si="9">H42+H43</f>
        <v>410.96205964594128</v>
      </c>
      <c r="I44" s="141">
        <f t="shared" si="9"/>
        <v>100.00000000000045</v>
      </c>
      <c r="J44" s="141">
        <f t="shared" si="9"/>
        <v>100.00000000000045</v>
      </c>
      <c r="K44" s="141">
        <f t="shared" si="9"/>
        <v>100.00000000000045</v>
      </c>
      <c r="L44" s="141">
        <f t="shared" si="9"/>
        <v>100.00000000000045</v>
      </c>
      <c r="O44"/>
    </row>
    <row r="45" spans="1:20" ht="16.5" outlineLevel="1" thickTop="1" thickBot="1" x14ac:dyDescent="0.3">
      <c r="B45" s="4" t="s">
        <v>268</v>
      </c>
      <c r="C45" s="64"/>
      <c r="D45" s="64"/>
      <c r="E45" s="64"/>
      <c r="F45" s="64"/>
      <c r="G45" s="64"/>
      <c r="H45" s="64"/>
      <c r="I45" s="64"/>
      <c r="J45" s="64"/>
      <c r="K45" s="64"/>
      <c r="L45" s="64"/>
    </row>
    <row r="46" spans="1:20" ht="16.5" outlineLevel="1" thickTop="1" thickBot="1" x14ac:dyDescent="0.3">
      <c r="B46" s="63" t="s">
        <v>43</v>
      </c>
      <c r="C46" s="86"/>
      <c r="D46" s="87"/>
      <c r="E46" s="87"/>
      <c r="F46" s="87"/>
      <c r="G46" s="87"/>
      <c r="H46" s="87"/>
      <c r="I46" s="87"/>
      <c r="J46" s="87"/>
      <c r="K46" s="87"/>
      <c r="L46" s="88"/>
    </row>
    <row r="47" spans="1:20" ht="16.5" outlineLevel="1" thickTop="1" thickBot="1" x14ac:dyDescent="0.3">
      <c r="B47" s="28" t="s">
        <v>269</v>
      </c>
      <c r="C47" s="37">
        <f>CFS!C58</f>
        <v>845</v>
      </c>
      <c r="D47" s="37">
        <f>CFS!D58</f>
        <v>890</v>
      </c>
      <c r="E47" s="37">
        <f>CFS!E58</f>
        <v>945</v>
      </c>
      <c r="F47" s="37">
        <f>CFS!F58</f>
        <v>937</v>
      </c>
      <c r="G47" s="37">
        <f>CFS!G58</f>
        <v>933</v>
      </c>
      <c r="H47" s="37">
        <f>CFS!H58</f>
        <v>1044.3141091256325</v>
      </c>
      <c r="I47" s="37">
        <f>CFS!I58</f>
        <v>1119.8125664736096</v>
      </c>
      <c r="J47" s="37">
        <f>CFS!J58</f>
        <v>1207.6183348032623</v>
      </c>
      <c r="K47" s="37">
        <f>CFS!K58</f>
        <v>1331.0509406095546</v>
      </c>
      <c r="L47" s="37">
        <f>CFS!L58</f>
        <v>1495.4446833208103</v>
      </c>
    </row>
    <row r="48" spans="1:20" ht="16.5" outlineLevel="1" thickTop="1" thickBot="1" x14ac:dyDescent="0.3">
      <c r="B48" s="28" t="s">
        <v>270</v>
      </c>
      <c r="C48" s="37">
        <f>CFS!C59</f>
        <v>188</v>
      </c>
      <c r="D48" s="37">
        <f>CFS!D59</f>
        <v>194</v>
      </c>
      <c r="E48" s="37">
        <f>CFS!E59</f>
        <v>151</v>
      </c>
      <c r="F48" s="37">
        <f>CFS!F59</f>
        <v>280</v>
      </c>
      <c r="G48" s="37">
        <f>CFS!G59</f>
        <v>302</v>
      </c>
      <c r="H48" s="37">
        <f>CFS!H59</f>
        <v>246</v>
      </c>
      <c r="I48" s="37">
        <f>CFS!I59</f>
        <v>196</v>
      </c>
      <c r="J48" s="37">
        <f>CFS!J59</f>
        <v>162</v>
      </c>
      <c r="K48" s="37">
        <f>CFS!K59</f>
        <v>148</v>
      </c>
      <c r="L48" s="37">
        <f>CFS!L59</f>
        <v>122</v>
      </c>
    </row>
    <row r="49" spans="2:12" ht="15.75" outlineLevel="1" thickTop="1" x14ac:dyDescent="0.25"/>
    <row r="50" spans="2:12" ht="15.75" outlineLevel="1" thickTop="1" x14ac:dyDescent="0.25">
      <c r="B50" s="4" t="s">
        <v>39</v>
      </c>
      <c r="C50" s="62">
        <f>C44-BS!C13</f>
        <v>0</v>
      </c>
      <c r="D50" s="62">
        <f>D44-BS!D13</f>
        <v>0</v>
      </c>
      <c r="E50" s="62">
        <f>E44-BS!E13</f>
        <v>0</v>
      </c>
      <c r="F50" s="62">
        <f>F44-BS!F13</f>
        <v>0</v>
      </c>
      <c r="G50" s="62">
        <f>G44-BS!G13</f>
        <v>0</v>
      </c>
      <c r="H50" s="62">
        <f>H44-BS!H13</f>
        <v>-4.5474735088646412E-13</v>
      </c>
      <c r="I50" s="62">
        <f>I44-BS!I13</f>
        <v>0</v>
      </c>
      <c r="J50" s="62">
        <f>J44-BS!J13</f>
        <v>0</v>
      </c>
      <c r="K50" s="62">
        <f>K44-BS!K13</f>
        <v>0</v>
      </c>
      <c r="L50" s="540">
        <f>L44-BS!L13</f>
        <v>0</v>
      </c>
    </row>
  </sheetData>
  <autoFilter ref="B11:L50" xr:uid="{49AD771B-6519-4C82-9971-5B1C68FD75E1}"/>
  <mergeCells count="2">
    <mergeCell ref="C9:G9"/>
    <mergeCell ref="H9:L9"/>
  </mergeCells>
  <pageMargins left="0.70866141732283472" right="0.70866141732283472" top="0.74803149606299213" bottom="0.74803149606299213" header="0.31496062992125984" footer="0.31496062992125984"/>
  <pageSetup scale="64" fitToWidth="2" orientation="landscape" r:id="rId1"/>
  <ignoredErrors>
    <ignoredError sqref="C16 D16:G16 C18:G18 C20:G20 H16:L16 H18:L18 H20:L20"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06AC-4DF1-42F4-9EDE-6FE76FB66C74}">
  <sheetPr>
    <outlinePr summaryBelow="0"/>
    <pageSetUpPr fitToPage="1"/>
  </sheetPr>
  <dimension ref="A1:Q59"/>
  <sheetViews>
    <sheetView showGridLines="0" view="pageBreakPreview" zoomScale="80" zoomScaleNormal="100" zoomScaleSheetLayoutView="80" workbookViewId="0">
      <pane xSplit="2" ySplit="10" topLeftCell="C41" activePane="bottomRight" state="frozen"/>
      <selection pane="topRight"/>
      <selection pane="bottomLeft"/>
      <selection pane="bottomRight" activeCell="A10" sqref="A10"/>
    </sheetView>
  </sheetViews>
  <sheetFormatPr defaultRowHeight="15" outlineLevelRow="1" x14ac:dyDescent="0.25"/>
  <cols>
    <col min="1" max="1" width="3.5703125" bestFit="1" customWidth="1"/>
    <col min="2" max="2" width="56.28515625" bestFit="1" customWidth="1"/>
    <col min="3" max="3" width="16.28515625" customWidth="1"/>
    <col min="10" max="10" width="13.5703125" customWidth="1"/>
    <col min="12" max="12" width="11.140625" customWidth="1"/>
    <col min="13" max="13" width="3.42578125" bestFit="1" customWidth="1"/>
  </cols>
  <sheetData>
    <row r="1" spans="1:17" x14ac:dyDescent="0.25">
      <c r="P1" s="8" t="s">
        <v>204</v>
      </c>
      <c r="Q1" s="156">
        <f>SUM($C$48:$L$48,$C$58:$L$58)</f>
        <v>0</v>
      </c>
    </row>
    <row r="7" spans="1:17" x14ac:dyDescent="0.25">
      <c r="A7" s="31"/>
    </row>
    <row r="8" spans="1:17" ht="15.75" thickBot="1" x14ac:dyDescent="0.3">
      <c r="A8" s="31"/>
    </row>
    <row r="9" spans="1:17" ht="16.5" thickTop="1" thickBot="1" x14ac:dyDescent="0.3">
      <c r="B9" s="12" t="s">
        <v>20</v>
      </c>
      <c r="C9" s="666" t="s">
        <v>74</v>
      </c>
      <c r="D9" s="666"/>
      <c r="E9" s="666"/>
      <c r="F9" s="666"/>
      <c r="G9" s="666"/>
      <c r="H9" s="666" t="s">
        <v>67</v>
      </c>
      <c r="I9" s="666"/>
      <c r="J9" s="666"/>
      <c r="K9" s="666"/>
      <c r="L9" s="666"/>
    </row>
    <row r="10" spans="1:17" ht="16.5" thickTop="1" thickBot="1" x14ac:dyDescent="0.3">
      <c r="B10" s="66"/>
      <c r="C10" s="143">
        <v>2020</v>
      </c>
      <c r="D10" s="143">
        <f>C10+1</f>
        <v>2021</v>
      </c>
      <c r="E10" s="143">
        <f t="shared" ref="E10:L10" si="0">D10+1</f>
        <v>2022</v>
      </c>
      <c r="F10" s="143">
        <f t="shared" si="0"/>
        <v>2023</v>
      </c>
      <c r="G10" s="143">
        <f t="shared" si="0"/>
        <v>2024</v>
      </c>
      <c r="H10" s="129">
        <f t="shared" si="0"/>
        <v>2025</v>
      </c>
      <c r="I10" s="129">
        <f t="shared" si="0"/>
        <v>2026</v>
      </c>
      <c r="J10" s="129">
        <f t="shared" si="0"/>
        <v>2027</v>
      </c>
      <c r="K10" s="129">
        <f t="shared" si="0"/>
        <v>2028</v>
      </c>
      <c r="L10" s="129">
        <f t="shared" si="0"/>
        <v>2029</v>
      </c>
    </row>
    <row r="11" spans="1:17" ht="16.5" thickTop="1" thickBot="1" x14ac:dyDescent="0.3">
      <c r="A11" s="81" t="s">
        <v>57</v>
      </c>
      <c r="B11" s="12" t="s">
        <v>82</v>
      </c>
      <c r="C11" s="86"/>
      <c r="D11" s="87"/>
      <c r="E11" s="87"/>
      <c r="F11" s="87"/>
      <c r="G11" s="87"/>
      <c r="H11" s="87"/>
      <c r="I11" s="87"/>
      <c r="J11" s="87"/>
      <c r="K11" s="87"/>
      <c r="L11" s="88"/>
      <c r="M11" s="2"/>
    </row>
    <row r="12" spans="1:17" ht="16.5" outlineLevel="1" thickTop="1" thickBot="1" x14ac:dyDescent="0.3">
      <c r="A12" s="81"/>
      <c r="B12" s="70" t="s">
        <v>83</v>
      </c>
      <c r="C12" s="58">
        <f>'FS Summary'!C15</f>
        <v>0.60815979600509984</v>
      </c>
      <c r="D12" s="58">
        <f>'FS Summary'!D15</f>
        <v>0.59554560587796335</v>
      </c>
      <c r="E12" s="58">
        <f>'FS Summary'!E15</f>
        <v>0.57037902821840036</v>
      </c>
      <c r="F12" s="58">
        <f>'FS Summary'!F15</f>
        <v>0.58210412704939096</v>
      </c>
      <c r="G12" s="58">
        <f>'FS Summary'!G15</f>
        <v>0.60499477637928456</v>
      </c>
      <c r="H12" s="58">
        <f>'FS Summary'!H15</f>
        <v>0.59223666670602781</v>
      </c>
      <c r="I12" s="58">
        <f>'FS Summary'!I15</f>
        <v>0.58905204084621343</v>
      </c>
      <c r="J12" s="58">
        <f>'FS Summary'!J15</f>
        <v>0.58775332783986356</v>
      </c>
      <c r="K12" s="58">
        <f>'FS Summary'!K15</f>
        <v>0.59122818776415609</v>
      </c>
      <c r="L12" s="58">
        <f>'FS Summary'!L15</f>
        <v>0.59305299990710902</v>
      </c>
    </row>
    <row r="13" spans="1:17" ht="16.5" outlineLevel="1" thickTop="1" thickBot="1" x14ac:dyDescent="0.3">
      <c r="A13" s="81"/>
      <c r="B13" s="70" t="s">
        <v>84</v>
      </c>
      <c r="C13" s="58">
        <f>'FS Summary'!C17</f>
        <v>0.2358691032724182</v>
      </c>
      <c r="D13" s="58">
        <f>'FS Summary'!D17</f>
        <v>0.19126341771425293</v>
      </c>
      <c r="E13" s="58">
        <f>'FS Summary'!E17</f>
        <v>0.16101742082707185</v>
      </c>
      <c r="F13" s="58">
        <f>'FS Summary'!F17</f>
        <v>0.20475921262270649</v>
      </c>
      <c r="G13" s="58">
        <f>'FS Summary'!G17</f>
        <v>0.21232774488831402</v>
      </c>
      <c r="H13" s="58">
        <f>'FS Summary'!H17</f>
        <v>0.21562851180240655</v>
      </c>
      <c r="I13" s="58">
        <f>'FS Summary'!I17</f>
        <v>0.21158039350840419</v>
      </c>
      <c r="J13" s="58">
        <f>'FS Summary'!J17</f>
        <v>0.20908848185361895</v>
      </c>
      <c r="K13" s="58">
        <f>'FS Summary'!K17</f>
        <v>0.21067686893509005</v>
      </c>
      <c r="L13" s="58">
        <f>'FS Summary'!L17</f>
        <v>0.21186040019756669</v>
      </c>
    </row>
    <row r="14" spans="1:17" ht="16.5" outlineLevel="1" thickTop="1" thickBot="1" x14ac:dyDescent="0.3">
      <c r="A14" s="81"/>
      <c r="B14" s="70" t="s">
        <v>85</v>
      </c>
      <c r="C14" s="58">
        <f>'FS Summary'!C21</f>
        <v>0.16362090947726307</v>
      </c>
      <c r="D14" s="58">
        <f>'FS Summary'!D21</f>
        <v>0.12433270191148614</v>
      </c>
      <c r="E14" s="58">
        <f>'FS Summary'!E21</f>
        <v>9.9348806144598428E-2</v>
      </c>
      <c r="F14" s="58">
        <f>'FS Summary'!F21</f>
        <v>0.1182093847972452</v>
      </c>
      <c r="G14" s="58">
        <f>'FS Summary'!G21</f>
        <v>0.14372419282622756</v>
      </c>
      <c r="H14" s="58">
        <f>'FS Summary'!H21</f>
        <v>0.14102135139787708</v>
      </c>
      <c r="I14" s="58">
        <f>'FS Summary'!I21</f>
        <v>0.13988276846449316</v>
      </c>
      <c r="J14" s="58">
        <f>'FS Summary'!J21</f>
        <v>0.1390034444665974</v>
      </c>
      <c r="K14" s="58">
        <f>'FS Summary'!K21</f>
        <v>0.14031696150036002</v>
      </c>
      <c r="L14" s="58">
        <f>'FS Summary'!L21</f>
        <v>0.14344671783153298</v>
      </c>
    </row>
    <row r="15" spans="1:17" ht="6.75" customHeight="1" outlineLevel="1" thickTop="1" thickBot="1" x14ac:dyDescent="0.3">
      <c r="A15" s="81"/>
      <c r="B15" s="70"/>
      <c r="C15" s="72"/>
      <c r="D15" s="72"/>
      <c r="E15" s="74"/>
      <c r="F15" s="74"/>
      <c r="G15" s="74"/>
      <c r="H15" s="72"/>
      <c r="I15" s="72"/>
      <c r="J15" s="74"/>
      <c r="K15" s="74"/>
      <c r="L15" s="74"/>
    </row>
    <row r="16" spans="1:17" ht="16.5" outlineLevel="1" thickTop="1" thickBot="1" x14ac:dyDescent="0.3">
      <c r="A16" s="81"/>
      <c r="B16" s="70" t="s">
        <v>86</v>
      </c>
      <c r="C16" s="76">
        <f>IFERROR('FS Summary'!C20/AVERAGE(12161,'FS Summary'!C29),"-")</f>
        <v>0.19194473131298742</v>
      </c>
      <c r="D16" s="76">
        <f>IFERROR('FS Summary'!D20/AVERAGE('FS Summary'!C29:D29),"-")</f>
        <v>0.13992248062015503</v>
      </c>
      <c r="E16" s="76">
        <f>IFERROR('FS Summary'!E20/AVERAGE('FS Summary'!D29:E29),"-")</f>
        <v>0.1160183289460856</v>
      </c>
      <c r="F16" s="76">
        <f>IFERROR('FS Summary'!F20/AVERAGE('FS Summary'!E29:F29),"-")</f>
        <v>0.14319511891420744</v>
      </c>
      <c r="G16" s="76">
        <f>IFERROR('FS Summary'!G20/AVERAGE('FS Summary'!F29:G29),"-")</f>
        <v>0.17811893091648942</v>
      </c>
      <c r="H16" s="76">
        <f>IFERROR('FS Summary'!H20/AVERAGE('FS Summary'!G29:H29),"-")</f>
        <v>0.18679906407338617</v>
      </c>
      <c r="I16" s="76">
        <f>IFERROR('FS Summary'!I20/AVERAGE('FS Summary'!H29:I29),"-")</f>
        <v>0.19329650127080619</v>
      </c>
      <c r="J16" s="76">
        <f>IFERROR('FS Summary'!J20/AVERAGE('FS Summary'!I29:J29),"-")</f>
        <v>0.19814851146178084</v>
      </c>
      <c r="K16" s="76">
        <f>IFERROR('FS Summary'!K20/AVERAGE('FS Summary'!J29:K29),"-")</f>
        <v>0.20551985877845574</v>
      </c>
      <c r="L16" s="76">
        <f>IFERROR('FS Summary'!L20/AVERAGE('FS Summary'!K29:L29),"-")</f>
        <v>0.21689029515570932</v>
      </c>
    </row>
    <row r="17" spans="1:15" ht="16.5" outlineLevel="1" thickTop="1" thickBot="1" x14ac:dyDescent="0.3">
      <c r="A17" s="81"/>
      <c r="B17" s="70" t="s">
        <v>106</v>
      </c>
      <c r="C17" s="76">
        <f>IFERROR((IS!C17-IS!C18)/(BS!C53+BS!C37),"-")</f>
        <v>0.45180794309425015</v>
      </c>
      <c r="D17" s="76">
        <f>IFERROR((IS!D17-IS!D18)/(BS!D53+BS!D37),"-")</f>
        <v>0.39951010410287813</v>
      </c>
      <c r="E17" s="76">
        <f>IFERROR((IS!E17-IS!E18)/(BS!E53+BS!E37),"-")</f>
        <v>0.29464753325652038</v>
      </c>
      <c r="F17" s="76">
        <f>IFERROR((IS!F17-IS!F18)/(BS!F53+BS!F37),"-")</f>
        <v>0.39494333042720142</v>
      </c>
      <c r="G17" s="76">
        <f>IFERROR((IS!G17-IS!G18)/(BS!G53+BS!G37),"-")</f>
        <v>0.53376739435720666</v>
      </c>
      <c r="H17" s="76">
        <f>IFERROR((IS!H17-IS!H18)/(BS!H53+BS!H37),"-")</f>
        <v>0.59078306677973924</v>
      </c>
      <c r="I17" s="76">
        <f>IFERROR((IS!I17-IS!I18)/(BS!I53+BS!I37),"-")</f>
        <v>0.60872497873524345</v>
      </c>
      <c r="J17" s="76">
        <f>IFERROR((IS!J17-IS!J18)/(BS!J53+BS!J37),"-")</f>
        <v>0.6087572211042479</v>
      </c>
      <c r="K17" s="76">
        <f>IFERROR((IS!K17-IS!K18)/(BS!K53+BS!K37),"-")</f>
        <v>0.65761114265525611</v>
      </c>
      <c r="L17" s="76">
        <f>IFERROR((IS!L17-IS!L18)/(BS!L53+BS!L37),"-")</f>
        <v>0.71628084670840453</v>
      </c>
      <c r="O17" s="70" t="s">
        <v>106</v>
      </c>
    </row>
    <row r="18" spans="1:15" ht="16.5" outlineLevel="1" thickTop="1" thickBot="1" x14ac:dyDescent="0.3">
      <c r="A18" s="81"/>
      <c r="B18" s="70" t="s">
        <v>107</v>
      </c>
      <c r="C18" s="76">
        <f>IFERROR('FS Summary'!C20/BS!C53,"-")</f>
        <v>2.4477747502270661</v>
      </c>
      <c r="D18" s="76">
        <f>IFERROR('FS Summary'!D20/BS!D53,"-")</f>
        <v>2.2306900102986611</v>
      </c>
      <c r="E18" s="76">
        <f>IFERROR('FS Summary'!E20/BS!E53,"-")</f>
        <v>2.2146401985111663</v>
      </c>
      <c r="F18" s="76">
        <f>IFERROR('FS Summary'!F20/BS!F53,"-")</f>
        <v>2.4033437826541273</v>
      </c>
      <c r="G18" s="76">
        <f>IFERROR('FS Summary'!G20/BS!G53,"-")</f>
        <v>5.3106617647058822</v>
      </c>
      <c r="H18" s="76">
        <f>IFERROR('FS Summary'!H20/BS!H53,"-")</f>
        <v>5.3008491209942106</v>
      </c>
      <c r="I18" s="76">
        <f>IFERROR('FS Summary'!I20/BS!I53,"-")</f>
        <v>9.8323764846770469</v>
      </c>
      <c r="J18" s="76">
        <f>IFERROR('FS Summary'!J20/BS!J53,"-")</f>
        <v>1020.0666701778119</v>
      </c>
      <c r="K18" s="76">
        <f>IFERROR('FS Summary'!K20/BS!K53,"-")</f>
        <v>-15.889346747342101</v>
      </c>
      <c r="L18" s="76">
        <f>IFERROR('FS Summary'!L20/BS!L53,"-")</f>
        <v>-6.2688288563801411</v>
      </c>
    </row>
    <row r="19" spans="1:15" ht="16.5" thickTop="1" thickBot="1" x14ac:dyDescent="0.3">
      <c r="A19" s="81"/>
      <c r="B19" s="67"/>
      <c r="C19" s="73"/>
      <c r="D19" s="73"/>
      <c r="E19" s="73"/>
      <c r="F19" s="73"/>
      <c r="G19" s="73"/>
      <c r="H19" s="73"/>
      <c r="I19" s="73"/>
      <c r="J19" s="73"/>
      <c r="K19" s="73"/>
      <c r="L19" s="73"/>
    </row>
    <row r="20" spans="1:15" ht="16.5" thickTop="1" thickBot="1" x14ac:dyDescent="0.3">
      <c r="A20" s="81" t="s">
        <v>118</v>
      </c>
      <c r="B20" s="12" t="s">
        <v>87</v>
      </c>
      <c r="C20" s="86"/>
      <c r="D20" s="87"/>
      <c r="E20" s="87"/>
      <c r="F20" s="87"/>
      <c r="G20" s="87"/>
      <c r="H20" s="87"/>
      <c r="I20" s="87"/>
      <c r="J20" s="87"/>
      <c r="K20" s="87"/>
      <c r="L20" s="88"/>
    </row>
    <row r="21" spans="1:15" ht="16.5" outlineLevel="1" thickTop="1" thickBot="1" x14ac:dyDescent="0.3">
      <c r="A21" s="81"/>
      <c r="B21" s="70" t="s">
        <v>88</v>
      </c>
      <c r="C21" s="77">
        <f>IFERROR(IS!C11/BS!C26,"-")</f>
        <v>1.0346105527638192</v>
      </c>
      <c r="D21" s="77">
        <f>IFERROR(IS!D11/BS!D26,"-")</f>
        <v>1.158311170212766</v>
      </c>
      <c r="E21" s="77">
        <f>IFERROR(IS!E11/BS!E26,"-")</f>
        <v>1.1421397241116267</v>
      </c>
      <c r="F21" s="77">
        <f>IFERROR(IS!F11/BS!F26,"-")</f>
        <v>1.1869090465442567</v>
      </c>
      <c r="G21" s="77">
        <f>IFERROR(IS!G11/BS!G26,"-")</f>
        <v>1.2527109560014957</v>
      </c>
      <c r="H21" s="77">
        <f>IFERROR(IS!H11/BS!H26,"-")</f>
        <v>1.301698871715085</v>
      </c>
      <c r="I21" s="77">
        <f>IFERROR(IS!I11/BS!I26,"-")</f>
        <v>1.3574217599844567</v>
      </c>
      <c r="J21" s="77">
        <f>IFERROR(IS!J11/BS!J26,"-")</f>
        <v>1.3808510810434034</v>
      </c>
      <c r="K21" s="77">
        <f>IFERROR(IS!K11/BS!K26,"-")</f>
        <v>1.4240144377704231</v>
      </c>
      <c r="L21" s="77">
        <f>IFERROR(IS!L11/BS!L26,"-")</f>
        <v>1.4624721326099668</v>
      </c>
    </row>
    <row r="22" spans="1:15" ht="16.5" outlineLevel="1" thickTop="1" thickBot="1" x14ac:dyDescent="0.3">
      <c r="A22" s="81"/>
      <c r="B22" s="70"/>
    </row>
    <row r="23" spans="1:15" ht="16.5" outlineLevel="1" thickTop="1" thickBot="1" x14ac:dyDescent="0.3">
      <c r="A23" s="81"/>
      <c r="B23" s="70" t="s">
        <v>89</v>
      </c>
      <c r="C23" s="77">
        <f>IFERROR(IS!C11/BS!C14,"-")</f>
        <v>13.030854430379748</v>
      </c>
      <c r="D23" s="77">
        <f>IFERROR(IS!D11/BS!D14,"-")</f>
        <v>13.431765612952969</v>
      </c>
      <c r="E23" s="77">
        <f>IFERROR(IS!E11/BS!E14,"-")</f>
        <v>11.946143617021276</v>
      </c>
      <c r="F23" s="77">
        <f>IFERROR(IS!F11/BS!F14,"-")</f>
        <v>12.26796973518285</v>
      </c>
      <c r="G23" s="77">
        <f>IFERROR(IS!G11/BS!G14,"-")</f>
        <v>13.215647600262985</v>
      </c>
      <c r="H23" s="77">
        <f>IFERROR(IS!H11/BS!H14,"-")</f>
        <v>12.752457400939026</v>
      </c>
      <c r="I23" s="77">
        <f>IFERROR(IS!I11/BS!I14,"-")</f>
        <v>12.698199393388521</v>
      </c>
      <c r="J23" s="77">
        <f>IFERROR(IS!J11/BS!J14,"-")</f>
        <v>12.560997425149292</v>
      </c>
      <c r="K23" s="77">
        <f>IFERROR(IS!K11/BS!K14,"-")</f>
        <v>12.691642171617914</v>
      </c>
      <c r="L23" s="77">
        <f>IFERROR(IS!L11/BS!L14,"-")</f>
        <v>12.779912632653954</v>
      </c>
    </row>
    <row r="24" spans="1:15" ht="16.5" outlineLevel="1" thickTop="1" thickBot="1" x14ac:dyDescent="0.3">
      <c r="A24" s="81"/>
      <c r="B24" s="70" t="s">
        <v>90</v>
      </c>
      <c r="C24" s="77">
        <f>IFERROR(IS!C12/BS!C32,"-")</f>
        <v>4.6331658291457289</v>
      </c>
      <c r="D24" s="77">
        <f>IFERROR(IS!D12/BS!D32,"-")</f>
        <v>4.7640297498309669</v>
      </c>
      <c r="E24" s="77">
        <f>IFERROR(IS!E12/BS!E32,"-")</f>
        <v>4.9767891682785299</v>
      </c>
      <c r="F24" s="77">
        <f>IFERROR(IS!F12/BS!F32,"-")</f>
        <v>4.7885747938751475</v>
      </c>
      <c r="G24" s="77">
        <f>IFERROR(IS!G12/BS!G32,"-")</f>
        <v>4.3988919667590025</v>
      </c>
      <c r="H24" s="77">
        <f>IFERROR(IS!H12/BS!H32,"-")</f>
        <v>4.7044008048850934</v>
      </c>
      <c r="I24" s="77">
        <f>IFERROR(IS!I12/BS!I32,"-")</f>
        <v>4.718911468061834</v>
      </c>
      <c r="J24" s="77">
        <f>IFERROR(IS!J12/BS!J32,"-")</f>
        <v>4.7099901692980826</v>
      </c>
      <c r="K24" s="77">
        <f>IFERROR(IS!K12/BS!K32,"-")</f>
        <v>4.6600266127373517</v>
      </c>
      <c r="L24" s="77">
        <f>IFERROR(IS!L12/BS!L32,"-")</f>
        <v>4.6351407567469805</v>
      </c>
    </row>
    <row r="25" spans="1:15" ht="16.5" outlineLevel="1" thickTop="1" thickBot="1" x14ac:dyDescent="0.3">
      <c r="A25" s="81"/>
      <c r="B25" s="70"/>
      <c r="C25" s="73"/>
      <c r="D25" s="73"/>
      <c r="E25" s="73"/>
      <c r="F25" s="73"/>
      <c r="G25" s="73"/>
      <c r="H25" s="73"/>
      <c r="I25" s="73"/>
      <c r="J25" s="73"/>
      <c r="K25" s="73"/>
      <c r="L25" s="73"/>
    </row>
    <row r="26" spans="1:15" ht="16.5" outlineLevel="1" thickTop="1" thickBot="1" x14ac:dyDescent="0.3">
      <c r="A26" s="81"/>
      <c r="B26" s="70" t="s">
        <v>91</v>
      </c>
      <c r="C26" s="78">
        <f t="shared" ref="C26:G27" si="1">365/C23</f>
        <v>28.010442596077954</v>
      </c>
      <c r="D26" s="78">
        <f t="shared" si="1"/>
        <v>27.174387233798289</v>
      </c>
      <c r="E26" s="78">
        <f t="shared" si="1"/>
        <v>30.553793065063729</v>
      </c>
      <c r="F26" s="78">
        <f t="shared" si="1"/>
        <v>29.752274245772728</v>
      </c>
      <c r="G26" s="78">
        <f t="shared" si="1"/>
        <v>27.618775185314163</v>
      </c>
      <c r="H26" s="78">
        <f t="shared" ref="H26:L26" si="2">365/H23</f>
        <v>28.621934465205371</v>
      </c>
      <c r="I26" s="78">
        <f t="shared" si="2"/>
        <v>28.744232839030854</v>
      </c>
      <c r="J26" s="78">
        <f t="shared" si="2"/>
        <v>29.058201960077373</v>
      </c>
      <c r="K26" s="78">
        <f t="shared" si="2"/>
        <v>28.759083739080101</v>
      </c>
      <c r="L26" s="78">
        <f t="shared" si="2"/>
        <v>28.560445637741569</v>
      </c>
    </row>
    <row r="27" spans="1:15" ht="16.5" outlineLevel="1" thickTop="1" thickBot="1" x14ac:dyDescent="0.3">
      <c r="A27" s="81"/>
      <c r="B27" s="70" t="s">
        <v>92</v>
      </c>
      <c r="C27" s="78">
        <f t="shared" si="1"/>
        <v>78.779826464208242</v>
      </c>
      <c r="D27" s="78">
        <f t="shared" si="1"/>
        <v>76.615810388873115</v>
      </c>
      <c r="E27" s="78">
        <f t="shared" si="1"/>
        <v>73.340458608628069</v>
      </c>
      <c r="F27" s="78">
        <f t="shared" si="1"/>
        <v>76.223096790062712</v>
      </c>
      <c r="G27" s="78">
        <f t="shared" si="1"/>
        <v>82.975440806045341</v>
      </c>
      <c r="H27" s="78">
        <f t="shared" ref="H27:L27" si="3">365/H24</f>
        <v>77.586926611563499</v>
      </c>
      <c r="I27" s="78">
        <f t="shared" si="3"/>
        <v>77.348346641034553</v>
      </c>
      <c r="J27" s="78">
        <f t="shared" si="3"/>
        <v>77.494853891466818</v>
      </c>
      <c r="K27" s="78">
        <f t="shared" si="3"/>
        <v>78.325732948034585</v>
      </c>
      <c r="L27" s="78">
        <f t="shared" si="3"/>
        <v>78.746260179628962</v>
      </c>
    </row>
    <row r="28" spans="1:15" ht="16.5" thickTop="1" thickBot="1" x14ac:dyDescent="0.3">
      <c r="A28" s="81"/>
      <c r="B28" s="71"/>
      <c r="C28" s="72"/>
      <c r="D28" s="72"/>
      <c r="E28" s="72"/>
      <c r="F28" s="72"/>
      <c r="G28" s="72"/>
      <c r="H28" s="72"/>
      <c r="I28" s="72"/>
      <c r="J28" s="72"/>
      <c r="K28" s="72"/>
      <c r="L28" s="72"/>
    </row>
    <row r="29" spans="1:15" ht="16.5" thickTop="1" thickBot="1" x14ac:dyDescent="0.3">
      <c r="A29" s="81" t="s">
        <v>119</v>
      </c>
      <c r="B29" s="12" t="s">
        <v>93</v>
      </c>
      <c r="C29" s="86"/>
      <c r="D29" s="87"/>
      <c r="E29" s="87"/>
      <c r="F29" s="87"/>
      <c r="G29" s="87"/>
      <c r="H29" s="87"/>
      <c r="I29" s="87"/>
      <c r="J29" s="87"/>
      <c r="K29" s="87"/>
      <c r="L29" s="88"/>
    </row>
    <row r="30" spans="1:15" ht="16.5" outlineLevel="1" thickTop="1" thickBot="1" x14ac:dyDescent="0.3">
      <c r="A30" s="81"/>
      <c r="B30" s="70" t="s">
        <v>94</v>
      </c>
      <c r="C30" s="77">
        <f>IFERROR(BS!C17/BS!C35,"-")</f>
        <v>0.98501362397820158</v>
      </c>
      <c r="D30" s="77">
        <f>IFERROR(BS!D17/BS!D35,"-")</f>
        <v>1.0854110096272525</v>
      </c>
      <c r="E30" s="77">
        <f>IFERROR(BS!E17/BS!E35,"-")</f>
        <v>1.2769730269730271</v>
      </c>
      <c r="F30" s="77">
        <f>IFERROR(BS!F17/BS!F35,"-")</f>
        <v>1.1134781691626239</v>
      </c>
      <c r="G30" s="77">
        <f>IFERROR(BS!G17/BS!G35,"-")</f>
        <v>0.92325056433408581</v>
      </c>
      <c r="H30" s="77">
        <f>IFERROR(BS!H17/BS!H35,"-")</f>
        <v>0.87730239726420278</v>
      </c>
      <c r="I30" s="77">
        <f>IFERROR(BS!I17/BS!I35,"-")</f>
        <v>0.84458424735429261</v>
      </c>
      <c r="J30" s="77">
        <f>IFERROR(BS!J17/BS!J35,"-")</f>
        <v>0.85939710569505756</v>
      </c>
      <c r="K30" s="77">
        <f>IFERROR(BS!K17/BS!K35,"-")</f>
        <v>0.84339129574369398</v>
      </c>
      <c r="L30" s="77">
        <f>IFERROR(BS!L17/BS!L35,"-")</f>
        <v>0.83697081897817527</v>
      </c>
    </row>
    <row r="31" spans="1:15" ht="16.5" outlineLevel="1" thickTop="1" thickBot="1" x14ac:dyDescent="0.3">
      <c r="A31" s="81"/>
      <c r="B31" s="70" t="s">
        <v>95</v>
      </c>
      <c r="C31" s="77">
        <f>IFERROR((BS!C13+BS!C14)/BS!C35,"-")</f>
        <v>0.48864668483197093</v>
      </c>
      <c r="D31" s="77">
        <f>IFERROR((BS!D13+BS!D14)/BS!D35,"-")</f>
        <v>0.52554924709948159</v>
      </c>
      <c r="E31" s="77">
        <f>IFERROR((BS!E13+BS!E14)/BS!E35,"-")</f>
        <v>0.5691808191808192</v>
      </c>
      <c r="F31" s="77">
        <f>IFERROR((BS!F13+BS!F14)/BS!F35,"-")</f>
        <v>0.53828306264501158</v>
      </c>
      <c r="G31" s="77">
        <f>IFERROR((BS!G13+BS!G14)/BS!G35,"-")</f>
        <v>0.45441916999479076</v>
      </c>
      <c r="H31" s="77">
        <f>IFERROR((BS!H13+BS!H14)/BS!H35,"-")</f>
        <v>0.36150007056309402</v>
      </c>
      <c r="I31" s="77">
        <f>IFERROR((BS!I13+BS!I14)/BS!I35,"-")</f>
        <v>0.31411532621582894</v>
      </c>
      <c r="J31" s="77">
        <f>IFERROR((BS!J13+BS!J14)/BS!J35,"-")</f>
        <v>0.31801864811241154</v>
      </c>
      <c r="K31" s="77">
        <f>IFERROR((BS!K13+BS!K14)/BS!K35,"-")</f>
        <v>0.31360121303809246</v>
      </c>
      <c r="L31" s="77">
        <f>IFERROR((BS!L13+BS!L14)/BS!L35,"-")</f>
        <v>0.30944140035951856</v>
      </c>
    </row>
    <row r="32" spans="1:15" ht="16.5" thickTop="1" thickBot="1" x14ac:dyDescent="0.3">
      <c r="A32" s="81"/>
      <c r="B32" s="68"/>
      <c r="C32" s="72"/>
      <c r="D32" s="72"/>
      <c r="E32" s="72"/>
      <c r="F32" s="72"/>
      <c r="G32" s="72"/>
      <c r="H32" s="72"/>
      <c r="I32" s="72"/>
      <c r="J32" s="72"/>
      <c r="K32" s="72"/>
      <c r="L32" s="72"/>
    </row>
    <row r="33" spans="1:12" ht="16.5" thickTop="1" thickBot="1" x14ac:dyDescent="0.3">
      <c r="A33" s="81" t="s">
        <v>120</v>
      </c>
      <c r="B33" s="12" t="s">
        <v>96</v>
      </c>
      <c r="C33" s="86"/>
      <c r="D33" s="87"/>
      <c r="E33" s="87"/>
      <c r="F33" s="87"/>
      <c r="G33" s="87"/>
      <c r="H33" s="87"/>
      <c r="I33" s="87"/>
      <c r="J33" s="87"/>
      <c r="K33" s="87"/>
      <c r="L33" s="88"/>
    </row>
    <row r="34" spans="1:12" ht="16.5" outlineLevel="1" thickTop="1" thickBot="1" x14ac:dyDescent="0.3">
      <c r="A34" s="81"/>
      <c r="B34" s="70" t="s">
        <v>97</v>
      </c>
      <c r="C34" s="77">
        <f>IFERROR((BS!C30+BS!C31+BS!C37)/BS!C26,"-")</f>
        <v>0.47744974874371859</v>
      </c>
      <c r="D34" s="77">
        <f>IFERROR((BS!D30+BS!D31+BS!D37)/BS!D26,"-")</f>
        <v>0.48171542553191488</v>
      </c>
      <c r="E34" s="77">
        <f>IFERROR((BS!E30+BS!E31+BS!E37)/BS!E26,"-")</f>
        <v>0.55724365901722717</v>
      </c>
      <c r="F34" s="77">
        <f>IFERROR((BS!F30+BS!F31+BS!F37)/BS!F26,"-")</f>
        <v>0.52150308058317574</v>
      </c>
      <c r="G34" s="77">
        <f>IFERROR((BS!G30+BS!G31+BS!G37)/BS!G26,"-")</f>
        <v>0.49538825875607628</v>
      </c>
      <c r="H34" s="77">
        <f>IFERROR((BS!H30+BS!H31+BS!H37)/BS!H26,"-")</f>
        <v>0.46440943649104849</v>
      </c>
      <c r="I34" s="77">
        <f>IFERROR((BS!I30+BS!I31+BS!I37)/BS!I26,"-")</f>
        <v>0.47365251736755193</v>
      </c>
      <c r="J34" s="77">
        <f>IFERROR((BS!J30+BS!J31+BS!J37)/BS!J26,"-")</f>
        <v>0.49088072529472504</v>
      </c>
      <c r="K34" s="77">
        <f>IFERROR((BS!K30+BS!K31+BS!K37)/BS!K26,"-")</f>
        <v>0.48272534762311192</v>
      </c>
      <c r="L34" s="77">
        <f>IFERROR((BS!L30+BS!L31+BS!L37)/BS!L26,"-")</f>
        <v>0.48268462423073344</v>
      </c>
    </row>
    <row r="35" spans="1:12" ht="16.5" outlineLevel="1" thickTop="1" thickBot="1" x14ac:dyDescent="0.3">
      <c r="A35" s="81"/>
      <c r="B35" s="70" t="s">
        <v>98</v>
      </c>
      <c r="C35" s="77">
        <f>IFERROR(BS!C26/BS!C53,"-")</f>
        <v>14.459582198001817</v>
      </c>
      <c r="D35" s="77">
        <f>IFERROR(BS!D26/BS!D53,"-")</f>
        <v>15.489186405767251</v>
      </c>
      <c r="E35" s="77">
        <f>IFERROR(BS!E26/BS!E53,"-")</f>
        <v>19.517369727047146</v>
      </c>
      <c r="F35" s="77">
        <f>IFERROR(BS!F26/BS!F53,"-")</f>
        <v>17.12957157784744</v>
      </c>
      <c r="G35" s="77">
        <f>IFERROR(BS!G26/BS!G53,"-")</f>
        <v>29.496323529411764</v>
      </c>
      <c r="H35" s="77">
        <f>IFERROR(BS!H26/BS!H53,"-")</f>
        <v>28.876864992364379</v>
      </c>
      <c r="I35" s="77">
        <f>IFERROR(BS!I26/BS!I53,"-")</f>
        <v>51.782077893058258</v>
      </c>
      <c r="J35" s="77">
        <f>IFERROR(BS!J26/BS!J53,"-")</f>
        <v>5314.4233944014222</v>
      </c>
      <c r="K35" s="77">
        <f>IFERROR(BS!K26/BS!K53,"-")</f>
        <v>-79.52093510272104</v>
      </c>
      <c r="L35" s="77">
        <f>IFERROR(BS!L26/BS!L53,"-")</f>
        <v>-29.881899334562039</v>
      </c>
    </row>
    <row r="36" spans="1:12" ht="16.5" thickTop="1" thickBot="1" x14ac:dyDescent="0.3">
      <c r="A36" s="81"/>
      <c r="B36" s="69"/>
      <c r="C36" s="72"/>
      <c r="D36" s="72"/>
      <c r="E36" s="72"/>
      <c r="F36" s="72"/>
      <c r="G36" s="72"/>
      <c r="H36" s="72"/>
      <c r="I36" s="72"/>
      <c r="J36" s="72"/>
      <c r="K36" s="72"/>
      <c r="L36" s="72"/>
    </row>
    <row r="37" spans="1:12" ht="16.5" thickTop="1" thickBot="1" x14ac:dyDescent="0.3">
      <c r="A37" s="81" t="s">
        <v>59</v>
      </c>
      <c r="B37" s="12" t="s">
        <v>99</v>
      </c>
      <c r="C37" s="86"/>
      <c r="D37" s="87"/>
      <c r="E37" s="87"/>
      <c r="F37" s="87"/>
      <c r="G37" s="87"/>
      <c r="H37" s="87"/>
      <c r="I37" s="87"/>
      <c r="J37" s="87"/>
      <c r="K37" s="87"/>
      <c r="L37" s="88"/>
    </row>
    <row r="38" spans="1:12" ht="16.5" outlineLevel="1" thickTop="1" thickBot="1" x14ac:dyDescent="0.3">
      <c r="A38" s="81"/>
      <c r="B38" s="70" t="s">
        <v>100</v>
      </c>
      <c r="C38" s="77">
        <f>IFERROR((IS!C17-IS!C18)/IS!C19,"-")</f>
        <v>23.237804878048781</v>
      </c>
      <c r="D38" s="77">
        <f>IFERROR((IS!D17-IS!D18)/IS!D19,"-")</f>
        <v>18.64</v>
      </c>
      <c r="E38" s="77">
        <f>IFERROR((IS!E17-IS!E18)/IS!E19,"-")</f>
        <v>18.385620915032678</v>
      </c>
      <c r="F38" s="77">
        <f>IFERROR((IS!F17-IS!F18)/IS!F19,"-")</f>
        <v>15.620689655172415</v>
      </c>
      <c r="G38" s="77">
        <f>IFERROR((IS!G17-IS!G18)/IS!G19,"-")</f>
        <v>18.582222222222221</v>
      </c>
      <c r="H38" s="77">
        <f>IFERROR((IS!H17-IS!H18)/IS!H19,"-")</f>
        <v>18.334894014983789</v>
      </c>
      <c r="I38" s="77">
        <f>IFERROR((IS!I17-IS!I18)/IS!I19,"-")</f>
        <v>24.329982753909853</v>
      </c>
      <c r="J38" s="77">
        <f>IFERROR((IS!J17-IS!J18)/IS!J19,"-")</f>
        <v>31.43966271006666</v>
      </c>
      <c r="K38" s="77">
        <f>IFERROR((IS!K17-IS!K18)/IS!K19,"-")</f>
        <v>37.724687889908893</v>
      </c>
      <c r="L38" s="77">
        <f>IFERROR((IS!L17-IS!L18)/IS!L19,"-")</f>
        <v>51.053641032563803</v>
      </c>
    </row>
    <row r="39" spans="1:12" ht="16.5" outlineLevel="1" thickTop="1" thickBot="1" x14ac:dyDescent="0.3">
      <c r="A39" s="81"/>
      <c r="B39" s="70" t="s">
        <v>101</v>
      </c>
      <c r="C39" s="77">
        <f>IFERROR(CFS!C29/BS!C37,"-")</f>
        <v>0.50709026452140715</v>
      </c>
      <c r="D39" s="77">
        <f>IFERROR(CFS!D29/BS!D37,"-")</f>
        <v>0.46219071448429244</v>
      </c>
      <c r="E39" s="77">
        <f>IFERROR(CFS!E29/BS!E37,"-")</f>
        <v>0.29241505548564239</v>
      </c>
      <c r="F39" s="77">
        <f>IFERROR(CFS!F29/BS!F37,"-")</f>
        <v>0.45565153911668088</v>
      </c>
      <c r="G39" s="77">
        <f>IFERROR(CFS!G29/BS!G37,"-")</f>
        <v>0.56345177664974622</v>
      </c>
      <c r="H39" s="77">
        <f>IFERROR(CFS!H29/BS!H37,"-")</f>
        <v>0.52672774259334521</v>
      </c>
      <c r="I39" s="77">
        <f>IFERROR(CFS!I29/BS!I37,"-")</f>
        <v>0.49673704765100607</v>
      </c>
      <c r="J39" s="77">
        <f>IFERROR(CFS!J29/BS!J37,"-")</f>
        <v>0.48378692838545639</v>
      </c>
      <c r="K39" s="77">
        <f>IFERROR(CFS!K29/BS!K37,"-")</f>
        <v>0.55939304351051888</v>
      </c>
      <c r="L39" s="77">
        <f>IFERROR(CFS!L29/BS!L37,"-")</f>
        <v>0.57271581937936888</v>
      </c>
    </row>
    <row r="40" spans="1:12" ht="16.5" outlineLevel="1" thickTop="1" thickBot="1" x14ac:dyDescent="0.3">
      <c r="A40" s="81"/>
      <c r="B40" s="70" t="s">
        <v>102</v>
      </c>
      <c r="C40" s="77">
        <f>IFERROR(CFS!C29/IS!C17,"-")</f>
        <v>0.95727155727155722</v>
      </c>
      <c r="D40" s="77">
        <f>IFERROR(CFS!D29/IS!D17,"-")</f>
        <v>0.99789915966386555</v>
      </c>
      <c r="E40" s="77">
        <f>IFERROR(CFS!E29/IS!E17,"-")</f>
        <v>0.88351192533702039</v>
      </c>
      <c r="F40" s="77">
        <f>IFERROR(CFS!F29/IS!F17,"-")</f>
        <v>0.9400100401606426</v>
      </c>
      <c r="G40" s="77">
        <f>IFERROR(CFS!G29/IS!G17,"-")</f>
        <v>0.96227741330834116</v>
      </c>
      <c r="H40" s="77">
        <f>IFERROR(CFS!H29/IS!H17,"-")</f>
        <v>0.79698960289576937</v>
      </c>
      <c r="I40" s="77">
        <f>IFERROR(CFS!I29/IS!I17,"-")</f>
        <v>0.75296117217096792</v>
      </c>
      <c r="J40" s="77">
        <f>IFERROR(CFS!J29/IS!J17,"-")</f>
        <v>0.76236827274468666</v>
      </c>
      <c r="K40" s="77">
        <f>IFERROR(CFS!K29/IS!K17,"-")</f>
        <v>0.8368581845629588</v>
      </c>
      <c r="L40" s="77">
        <f>IFERROR(CFS!L29/IS!L17,"-")</f>
        <v>0.83362894273255539</v>
      </c>
    </row>
    <row r="41" spans="1:12" ht="16.5" thickTop="1" thickBot="1" x14ac:dyDescent="0.3">
      <c r="A41" s="81"/>
      <c r="B41" s="70"/>
      <c r="C41" s="72"/>
      <c r="D41" s="72"/>
      <c r="E41" s="72"/>
      <c r="F41" s="72"/>
      <c r="G41" s="72"/>
      <c r="H41" s="72"/>
      <c r="I41" s="72"/>
      <c r="J41" s="72"/>
      <c r="K41" s="72"/>
      <c r="L41" s="72"/>
    </row>
    <row r="42" spans="1:12" ht="16.5" thickTop="1" thickBot="1" x14ac:dyDescent="0.3">
      <c r="A42" s="81" t="s">
        <v>121</v>
      </c>
      <c r="B42" s="12" t="s">
        <v>103</v>
      </c>
      <c r="C42" s="86"/>
      <c r="D42" s="87"/>
      <c r="E42" s="87"/>
      <c r="F42" s="87"/>
      <c r="G42" s="87"/>
      <c r="H42" s="87"/>
      <c r="I42" s="87"/>
      <c r="J42" s="87"/>
      <c r="K42" s="87"/>
      <c r="L42" s="88"/>
    </row>
    <row r="43" spans="1:12" ht="16.5" thickTop="1" thickBot="1" x14ac:dyDescent="0.3">
      <c r="B43" s="70" t="s">
        <v>104</v>
      </c>
      <c r="C43" s="76">
        <f>C46*C45*C44</f>
        <v>2.4477747502270666</v>
      </c>
      <c r="D43" s="76">
        <f>D46*D45*D44</f>
        <v>2.2306900102986615</v>
      </c>
      <c r="E43" s="76">
        <f>E46*E45*E44</f>
        <v>2.2146401985111663</v>
      </c>
      <c r="F43" s="76">
        <f>F46*F45*F44</f>
        <v>2.4033437826541273</v>
      </c>
      <c r="G43" s="76">
        <f>G46*G45*G44</f>
        <v>5.3106617647058831</v>
      </c>
      <c r="H43" s="76">
        <f t="shared" ref="H43:L43" si="4">H46*H45*H44</f>
        <v>5.3008491209942106</v>
      </c>
      <c r="I43" s="76">
        <f t="shared" si="4"/>
        <v>9.8323764846770505</v>
      </c>
      <c r="J43" s="76">
        <f t="shared" si="4"/>
        <v>1020.0666701778118</v>
      </c>
      <c r="K43" s="76">
        <f t="shared" si="4"/>
        <v>-15.889346747342101</v>
      </c>
      <c r="L43" s="76">
        <f t="shared" si="4"/>
        <v>-6.2688288563801402</v>
      </c>
    </row>
    <row r="44" spans="1:12" ht="16.5" outlineLevel="1" thickTop="1" thickBot="1" x14ac:dyDescent="0.3">
      <c r="B44" s="70" t="s">
        <v>109</v>
      </c>
      <c r="C44" s="58">
        <f>C14</f>
        <v>0.16362090947726307</v>
      </c>
      <c r="D44" s="58">
        <f>D14</f>
        <v>0.12433270191148614</v>
      </c>
      <c r="E44" s="58">
        <f>E14</f>
        <v>9.9348806144598428E-2</v>
      </c>
      <c r="F44" s="58">
        <f>F14</f>
        <v>0.1182093847972452</v>
      </c>
      <c r="G44" s="58">
        <f>G14</f>
        <v>0.14372419282622756</v>
      </c>
      <c r="H44" s="58">
        <f t="shared" ref="H44:L44" si="5">H14</f>
        <v>0.14102135139787708</v>
      </c>
      <c r="I44" s="58">
        <f t="shared" si="5"/>
        <v>0.13988276846449316</v>
      </c>
      <c r="J44" s="58">
        <f t="shared" si="5"/>
        <v>0.1390034444665974</v>
      </c>
      <c r="K44" s="58">
        <f t="shared" si="5"/>
        <v>0.14031696150036002</v>
      </c>
      <c r="L44" s="58">
        <f t="shared" si="5"/>
        <v>0.14344671783153298</v>
      </c>
    </row>
    <row r="45" spans="1:12" ht="16.5" outlineLevel="1" thickTop="1" thickBot="1" x14ac:dyDescent="0.3">
      <c r="B45" s="70" t="s">
        <v>110</v>
      </c>
      <c r="C45" s="79">
        <f>C21</f>
        <v>1.0346105527638192</v>
      </c>
      <c r="D45" s="79">
        <f>D21</f>
        <v>1.158311170212766</v>
      </c>
      <c r="E45" s="79">
        <f>E21</f>
        <v>1.1421397241116267</v>
      </c>
      <c r="F45" s="79">
        <f>F21</f>
        <v>1.1869090465442567</v>
      </c>
      <c r="G45" s="79">
        <f>G21</f>
        <v>1.2527109560014957</v>
      </c>
      <c r="H45" s="79">
        <f t="shared" ref="H45:L45" si="6">H21</f>
        <v>1.301698871715085</v>
      </c>
      <c r="I45" s="79">
        <f t="shared" si="6"/>
        <v>1.3574217599844567</v>
      </c>
      <c r="J45" s="79">
        <f t="shared" si="6"/>
        <v>1.3808510810434034</v>
      </c>
      <c r="K45" s="79">
        <f t="shared" si="6"/>
        <v>1.4240144377704231</v>
      </c>
      <c r="L45" s="79">
        <f t="shared" si="6"/>
        <v>1.4624721326099668</v>
      </c>
    </row>
    <row r="46" spans="1:12" ht="16.5" outlineLevel="1" thickTop="1" thickBot="1" x14ac:dyDescent="0.3">
      <c r="B46" s="70" t="s">
        <v>111</v>
      </c>
      <c r="C46" s="79">
        <f>C35</f>
        <v>14.459582198001817</v>
      </c>
      <c r="D46" s="79">
        <f>D35</f>
        <v>15.489186405767251</v>
      </c>
      <c r="E46" s="79">
        <f>E35</f>
        <v>19.517369727047146</v>
      </c>
      <c r="F46" s="79">
        <f>F35</f>
        <v>17.12957157784744</v>
      </c>
      <c r="G46" s="79">
        <f>G35</f>
        <v>29.496323529411764</v>
      </c>
      <c r="H46" s="79">
        <f t="shared" ref="H46:L46" si="7">H35</f>
        <v>28.876864992364379</v>
      </c>
      <c r="I46" s="79">
        <f t="shared" si="7"/>
        <v>51.782077893058258</v>
      </c>
      <c r="J46" s="79">
        <f t="shared" si="7"/>
        <v>5314.4233944014222</v>
      </c>
      <c r="K46" s="79">
        <f t="shared" si="7"/>
        <v>-79.52093510272104</v>
      </c>
      <c r="L46" s="79">
        <f t="shared" si="7"/>
        <v>-29.881899334562039</v>
      </c>
    </row>
    <row r="47" spans="1:12" ht="16.5" outlineLevel="1" thickTop="1" thickBot="1" x14ac:dyDescent="0.3">
      <c r="B47" s="70"/>
    </row>
    <row r="48" spans="1:12" s="29" customFormat="1" ht="16.5" outlineLevel="1" thickTop="1" thickBot="1" x14ac:dyDescent="0.3">
      <c r="B48" s="80" t="s">
        <v>39</v>
      </c>
      <c r="C48" s="113">
        <f>C18-C43</f>
        <v>0</v>
      </c>
      <c r="D48" s="113">
        <f>D18-D43</f>
        <v>0</v>
      </c>
      <c r="E48" s="113">
        <f>E18-E43</f>
        <v>0</v>
      </c>
      <c r="F48" s="113">
        <f>F18-F43</f>
        <v>0</v>
      </c>
      <c r="G48" s="113">
        <f>G18-G43</f>
        <v>0</v>
      </c>
      <c r="H48" s="113">
        <f t="shared" ref="H48:L48" si="8">H18-H43</f>
        <v>0</v>
      </c>
      <c r="I48" s="113">
        <f t="shared" si="8"/>
        <v>0</v>
      </c>
      <c r="J48" s="113">
        <f t="shared" si="8"/>
        <v>0</v>
      </c>
      <c r="K48" s="113">
        <f t="shared" si="8"/>
        <v>0</v>
      </c>
      <c r="L48" s="113">
        <f t="shared" si="8"/>
        <v>0</v>
      </c>
    </row>
    <row r="49" spans="2:12" ht="16.5" thickTop="1" thickBot="1" x14ac:dyDescent="0.3">
      <c r="B49" s="70" t="s">
        <v>105</v>
      </c>
      <c r="C49" s="76">
        <f>C50*C51*C52*C55*C56</f>
        <v>2.447774750227067</v>
      </c>
      <c r="D49" s="76">
        <f>D50*D51*D52*D55*D56</f>
        <v>2.2306900102986615</v>
      </c>
      <c r="E49" s="76">
        <f>E50*E51*E52*E55*E56</f>
        <v>2.2146401985111663</v>
      </c>
      <c r="F49" s="76">
        <f>F50*F51*F52*F55*F56</f>
        <v>2.4033437826541273</v>
      </c>
      <c r="G49" s="76">
        <f>G50*G51*G52*G55*G56</f>
        <v>5.3106617647058831</v>
      </c>
      <c r="H49" s="76">
        <f t="shared" ref="H49:L49" si="9">H50*H51*H52*H55*H56</f>
        <v>5.3008491209942115</v>
      </c>
      <c r="I49" s="76">
        <f t="shared" si="9"/>
        <v>9.8323764846770469</v>
      </c>
      <c r="J49" s="76">
        <f t="shared" si="9"/>
        <v>1020.0666701778118</v>
      </c>
      <c r="K49" s="76">
        <f t="shared" si="9"/>
        <v>-15.889346747342097</v>
      </c>
      <c r="L49" s="76">
        <f t="shared" si="9"/>
        <v>-6.2688288563801402</v>
      </c>
    </row>
    <row r="50" spans="2:12" ht="16.5" outlineLevel="1" thickTop="1" thickBot="1" x14ac:dyDescent="0.3">
      <c r="B50" s="75" t="s">
        <v>112</v>
      </c>
      <c r="C50" s="77">
        <f>IS!C24/IS!C20</f>
        <v>0.73896353166986561</v>
      </c>
      <c r="D50" s="77">
        <f>IS!D24/IS!D20</f>
        <v>0.70165208940719148</v>
      </c>
      <c r="E50" s="77">
        <f>IS!E24/IS!E20</f>
        <v>0.67105263157894735</v>
      </c>
      <c r="F50" s="77">
        <f>IS!F24/IS!F20</f>
        <v>0.67806603773584906</v>
      </c>
      <c r="G50" s="77">
        <f>IS!G24/IS!G20</f>
        <v>0.73028311425682513</v>
      </c>
      <c r="H50" s="77">
        <f>IS!H24/IS!H20</f>
        <v>0.71548265179045112</v>
      </c>
      <c r="I50" s="77">
        <f>IS!I24/IS!I20</f>
        <v>0.71548265179045101</v>
      </c>
      <c r="J50" s="77">
        <f>IS!J24/IS!J20</f>
        <v>0.71548265179045101</v>
      </c>
      <c r="K50" s="77">
        <f>IS!K24/IS!K20</f>
        <v>0.71548265179045112</v>
      </c>
      <c r="L50" s="77">
        <f>IS!L24/IS!L20</f>
        <v>0.71548265179045112</v>
      </c>
    </row>
    <row r="51" spans="2:12" ht="16.5" outlineLevel="1" thickTop="1" thickBot="1" x14ac:dyDescent="0.3">
      <c r="B51" s="75" t="s">
        <v>113</v>
      </c>
      <c r="C51" s="77">
        <f>IS!C20/(IS!C17-IS!C18)</f>
        <v>0.9569666754132774</v>
      </c>
      <c r="D51" s="77">
        <f>IS!D20/(IS!D17-IS!D18)</f>
        <v>0.94635193133047213</v>
      </c>
      <c r="E51" s="77">
        <f>IS!E20/(IS!E17-IS!E18)</f>
        <v>0.94560966939210811</v>
      </c>
      <c r="F51" s="77">
        <f>IS!F20/(IS!F17-IS!F18)</f>
        <v>0.9359823399558499</v>
      </c>
      <c r="G51" s="77">
        <f>IS!G20/(IS!G17-IS!G18)</f>
        <v>0.94618512317627357</v>
      </c>
      <c r="H51" s="77">
        <f>IS!H20/(IS!H17-IS!H18)</f>
        <v>0.94545918840966459</v>
      </c>
      <c r="I51" s="77">
        <f>IS!I20/(IS!I17-IS!I18)</f>
        <v>0.95889845010928754</v>
      </c>
      <c r="J51" s="77">
        <f>IS!J20/(IS!J17-IS!J18)</f>
        <v>0.96819304299725173</v>
      </c>
      <c r="K51" s="77">
        <f>IS!K20/(IS!K17-IS!K18)</f>
        <v>0.97349215975177106</v>
      </c>
      <c r="L51" s="77">
        <f>IS!L20/(IS!L17-IS!L18)</f>
        <v>0.98041275842868558</v>
      </c>
    </row>
    <row r="52" spans="2:12" ht="16.5" outlineLevel="1" thickTop="1" thickBot="1" x14ac:dyDescent="0.3">
      <c r="B52" s="75" t="s">
        <v>114</v>
      </c>
      <c r="C52" s="76">
        <f>(IS!C17-IS!C18)/IS!C11</f>
        <v>0.23137635844818166</v>
      </c>
      <c r="D52" s="76">
        <f>(IS!D17-IS!D18)/IS!D11</f>
        <v>0.18724527868664256</v>
      </c>
      <c r="E52" s="76">
        <f>(IS!E17-IS!E18)/IS!E11</f>
        <v>0.15656481326877053</v>
      </c>
      <c r="F52" s="76">
        <f>(IS!F17-IS!F18)/IS!F11</f>
        <v>0.18625687413270289</v>
      </c>
      <c r="G52" s="76">
        <f>(IS!G17-IS!G18)/IS!G11</f>
        <v>0.20799960200985027</v>
      </c>
      <c r="H52" s="76">
        <f>(IS!H17-IS!H18)/IS!H11</f>
        <v>0.20846971724668345</v>
      </c>
      <c r="I52" s="76">
        <f>(IS!I17-IS!I18)/IS!I11</f>
        <v>0.20388838900638376</v>
      </c>
      <c r="J52" s="76">
        <f>(IS!J17-IS!J18)/IS!J11</f>
        <v>0.20066170425671651</v>
      </c>
      <c r="K52" s="76">
        <f>(IS!K17-IS!K18)/IS!K11</f>
        <v>0.20145525733046735</v>
      </c>
      <c r="L52" s="76">
        <f>(IS!L17-IS!L18)/IS!L11</f>
        <v>0.20449493397002022</v>
      </c>
    </row>
    <row r="53" spans="2:12" ht="16.5" outlineLevel="1" thickTop="1" thickBot="1" x14ac:dyDescent="0.3">
      <c r="B53" s="75" t="s">
        <v>108</v>
      </c>
      <c r="C53" s="76">
        <f>C52*C51*C50</f>
        <v>0.16362090947726307</v>
      </c>
      <c r="D53" s="76">
        <f>D52*D51*D50</f>
        <v>0.12433270191148614</v>
      </c>
      <c r="E53" s="76">
        <f>E52*E51*E50</f>
        <v>9.9348806144598428E-2</v>
      </c>
      <c r="F53" s="76">
        <f>F52*F51*F50</f>
        <v>0.11820938479724523</v>
      </c>
      <c r="G53" s="76">
        <f>G52*G51*G50</f>
        <v>0.14372419282622756</v>
      </c>
      <c r="H53" s="76">
        <f t="shared" ref="H53:L53" si="10">H52*H51*H50</f>
        <v>0.14102135139787711</v>
      </c>
      <c r="I53" s="76">
        <f t="shared" si="10"/>
        <v>0.13988276846449313</v>
      </c>
      <c r="J53" s="76">
        <f t="shared" si="10"/>
        <v>0.1390034444665974</v>
      </c>
      <c r="K53" s="76">
        <f t="shared" si="10"/>
        <v>0.14031696150035999</v>
      </c>
      <c r="L53" s="76">
        <f t="shared" si="10"/>
        <v>0.14344671783153301</v>
      </c>
    </row>
    <row r="54" spans="2:12" ht="16.5" outlineLevel="1" thickTop="1" thickBot="1" x14ac:dyDescent="0.3">
      <c r="B54" s="70" t="s">
        <v>39</v>
      </c>
      <c r="C54" s="113">
        <f>C53-C14</f>
        <v>0</v>
      </c>
      <c r="D54" s="113">
        <f>D53-D14</f>
        <v>0</v>
      </c>
      <c r="E54" s="113">
        <f>E53-E14</f>
        <v>0</v>
      </c>
      <c r="F54" s="113">
        <f>F53-F14</f>
        <v>0</v>
      </c>
      <c r="G54" s="113">
        <f>G53-G14</f>
        <v>0</v>
      </c>
      <c r="H54" s="113">
        <f t="shared" ref="H54:L54" si="11">H53-H14</f>
        <v>0</v>
      </c>
      <c r="I54" s="113">
        <f t="shared" si="11"/>
        <v>0</v>
      </c>
      <c r="J54" s="113">
        <f t="shared" si="11"/>
        <v>0</v>
      </c>
      <c r="K54" s="113">
        <f t="shared" si="11"/>
        <v>0</v>
      </c>
      <c r="L54" s="113">
        <f t="shared" si="11"/>
        <v>0</v>
      </c>
    </row>
    <row r="55" spans="2:12" ht="16.5" outlineLevel="1" thickTop="1" thickBot="1" x14ac:dyDescent="0.3">
      <c r="B55" s="75" t="s">
        <v>115</v>
      </c>
      <c r="C55" s="79">
        <f>C21</f>
        <v>1.0346105527638192</v>
      </c>
      <c r="D55" s="79">
        <f>D21</f>
        <v>1.158311170212766</v>
      </c>
      <c r="E55" s="79">
        <f>E21</f>
        <v>1.1421397241116267</v>
      </c>
      <c r="F55" s="79">
        <f>F21</f>
        <v>1.1869090465442567</v>
      </c>
      <c r="G55" s="79">
        <f>G21</f>
        <v>1.2527109560014957</v>
      </c>
      <c r="H55" s="79">
        <f t="shared" ref="H55:L55" si="12">H21</f>
        <v>1.301698871715085</v>
      </c>
      <c r="I55" s="79">
        <f t="shared" si="12"/>
        <v>1.3574217599844567</v>
      </c>
      <c r="J55" s="79">
        <f t="shared" si="12"/>
        <v>1.3808510810434034</v>
      </c>
      <c r="K55" s="79">
        <f t="shared" si="12"/>
        <v>1.4240144377704231</v>
      </c>
      <c r="L55" s="79">
        <f t="shared" si="12"/>
        <v>1.4624721326099668</v>
      </c>
    </row>
    <row r="56" spans="2:12" ht="16.5" outlineLevel="1" thickTop="1" thickBot="1" x14ac:dyDescent="0.3">
      <c r="B56" s="70" t="s">
        <v>116</v>
      </c>
      <c r="C56" s="79">
        <f>C35</f>
        <v>14.459582198001817</v>
      </c>
      <c r="D56" s="79">
        <f>D35</f>
        <v>15.489186405767251</v>
      </c>
      <c r="E56" s="79">
        <f>E35</f>
        <v>19.517369727047146</v>
      </c>
      <c r="F56" s="79">
        <f>F35</f>
        <v>17.12957157784744</v>
      </c>
      <c r="G56" s="79">
        <f>G35</f>
        <v>29.496323529411764</v>
      </c>
      <c r="H56" s="79">
        <f t="shared" ref="H56:L56" si="13">H35</f>
        <v>28.876864992364379</v>
      </c>
      <c r="I56" s="79">
        <f t="shared" si="13"/>
        <v>51.782077893058258</v>
      </c>
      <c r="J56" s="79">
        <f t="shared" si="13"/>
        <v>5314.4233944014222</v>
      </c>
      <c r="K56" s="79">
        <f t="shared" si="13"/>
        <v>-79.52093510272104</v>
      </c>
      <c r="L56" s="79">
        <f t="shared" si="13"/>
        <v>-29.881899334562039</v>
      </c>
    </row>
    <row r="57" spans="2:12" ht="16.5" outlineLevel="1" thickTop="1" thickBot="1" x14ac:dyDescent="0.3"/>
    <row r="58" spans="2:12" s="29" customFormat="1" ht="16.5" outlineLevel="1" thickTop="1" thickBot="1" x14ac:dyDescent="0.3">
      <c r="B58" s="80" t="s">
        <v>39</v>
      </c>
      <c r="C58" s="113">
        <f>C18-C49</f>
        <v>0</v>
      </c>
      <c r="D58" s="113">
        <f>D18-D49</f>
        <v>0</v>
      </c>
      <c r="E58" s="113">
        <f>E18-E49</f>
        <v>0</v>
      </c>
      <c r="F58" s="113">
        <f>F18-F49</f>
        <v>0</v>
      </c>
      <c r="G58" s="113">
        <f>G18-G49</f>
        <v>0</v>
      </c>
      <c r="H58" s="113">
        <f t="shared" ref="H58:L58" si="14">H18-H49</f>
        <v>0</v>
      </c>
      <c r="I58" s="113">
        <f t="shared" si="14"/>
        <v>0</v>
      </c>
      <c r="J58" s="113">
        <f t="shared" si="14"/>
        <v>0</v>
      </c>
      <c r="K58" s="113">
        <f t="shared" si="14"/>
        <v>0</v>
      </c>
      <c r="L58" s="113">
        <f t="shared" si="14"/>
        <v>0</v>
      </c>
    </row>
    <row r="59" spans="2:12" ht="15.75" thickTop="1" x14ac:dyDescent="0.25"/>
  </sheetData>
  <mergeCells count="2">
    <mergeCell ref="C9:G9"/>
    <mergeCell ref="H9:L9"/>
  </mergeCells>
  <pageMargins left="0.70866141732283472" right="0.70866141732283472" top="0.74803149606299213" bottom="0.74803149606299213" header="0.31496062992125984" footer="0.31496062992125984"/>
  <pageSetup scale="56"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F62E2-E95F-4871-9273-4ACA207DB938}">
  <sheetPr>
    <tabColor rgb="FFB00000"/>
  </sheetPr>
  <dimension ref="A1"/>
  <sheetViews>
    <sheetView view="pageBreakPreview" zoomScale="80" zoomScaleNormal="100" zoomScaleSheetLayoutView="80" workbookViewId="0"/>
  </sheetViews>
  <sheetFormatPr defaultRowHeight="15" x14ac:dyDescent="0.25"/>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556B9-C461-4FC0-B4A6-C7520ECC9755}">
  <dimension ref="A1:S30"/>
  <sheetViews>
    <sheetView showGridLines="0" view="pageBreakPreview" zoomScale="80" zoomScaleNormal="80" zoomScaleSheetLayoutView="80" workbookViewId="0">
      <selection activeCell="A7" sqref="A7"/>
    </sheetView>
  </sheetViews>
  <sheetFormatPr defaultRowHeight="15" x14ac:dyDescent="0.25"/>
  <cols>
    <col min="1" max="1" width="2.7109375" customWidth="1"/>
    <col min="2" max="2" width="56.28515625" bestFit="1" customWidth="1"/>
    <col min="3" max="3" width="16.28515625" customWidth="1"/>
    <col min="13" max="13" width="2.7109375" customWidth="1"/>
  </cols>
  <sheetData>
    <row r="1" spans="1:17" x14ac:dyDescent="0.25">
      <c r="P1" s="8"/>
      <c r="Q1" s="156"/>
    </row>
    <row r="7" spans="1:17" x14ac:dyDescent="0.25">
      <c r="A7" s="31"/>
    </row>
    <row r="8" spans="1:17" ht="15.75" thickBot="1" x14ac:dyDescent="0.3">
      <c r="A8" s="31"/>
    </row>
    <row r="9" spans="1:17" ht="18.75" thickTop="1" thickBot="1" x14ac:dyDescent="0.3">
      <c r="B9" s="12" t="s">
        <v>20</v>
      </c>
      <c r="C9" s="666" t="s">
        <v>21</v>
      </c>
      <c r="D9" s="666"/>
      <c r="E9" s="666"/>
      <c r="F9" s="666"/>
      <c r="G9" s="666"/>
      <c r="H9" s="666" t="s">
        <v>67</v>
      </c>
      <c r="I9" s="666"/>
      <c r="J9" s="666"/>
      <c r="K9" s="666"/>
      <c r="L9" s="666"/>
    </row>
    <row r="10" spans="1:17" ht="16.5" thickTop="1" thickBot="1" x14ac:dyDescent="0.3">
      <c r="B10" s="13"/>
      <c r="C10" s="128">
        <v>2020</v>
      </c>
      <c r="D10" s="128">
        <f t="shared" ref="D10:L10" si="0">C10+1</f>
        <v>2021</v>
      </c>
      <c r="E10" s="128">
        <f t="shared" si="0"/>
        <v>2022</v>
      </c>
      <c r="F10" s="128">
        <f t="shared" si="0"/>
        <v>2023</v>
      </c>
      <c r="G10" s="128">
        <f t="shared" si="0"/>
        <v>2024</v>
      </c>
      <c r="H10" s="129">
        <f t="shared" si="0"/>
        <v>2025</v>
      </c>
      <c r="I10" s="129">
        <f t="shared" si="0"/>
        <v>2026</v>
      </c>
      <c r="J10" s="129">
        <f t="shared" si="0"/>
        <v>2027</v>
      </c>
      <c r="K10" s="129">
        <f t="shared" si="0"/>
        <v>2028</v>
      </c>
      <c r="L10" s="129">
        <f t="shared" si="0"/>
        <v>2029</v>
      </c>
    </row>
    <row r="11" spans="1:17" ht="16.5" thickTop="1" thickBot="1" x14ac:dyDescent="0.3">
      <c r="B11" s="16" t="s">
        <v>277</v>
      </c>
      <c r="C11" s="56">
        <f>'IS Assumptions'!C29</f>
        <v>16471</v>
      </c>
      <c r="D11" s="56">
        <f>'IS Assumptions'!D29</f>
        <v>17421</v>
      </c>
      <c r="E11" s="56">
        <f>'IS Assumptions'!E29</f>
        <v>17967</v>
      </c>
      <c r="F11" s="56">
        <f>'IS Assumptions'!F29</f>
        <v>19457</v>
      </c>
      <c r="G11" s="56">
        <f>'IS Assumptions'!G29</f>
        <v>20101</v>
      </c>
      <c r="H11" s="56">
        <f>'IS Assumptions'!H29</f>
        <v>21635.679211618288</v>
      </c>
      <c r="I11" s="56">
        <f>'IS Assumptions'!I29</f>
        <v>23388.662017516963</v>
      </c>
      <c r="J11" s="56">
        <f>'IS Assumptions'!J29</f>
        <v>25382.149413596042</v>
      </c>
      <c r="K11" s="56">
        <f>'IS Assumptions'!K29</f>
        <v>27714.609594664202</v>
      </c>
      <c r="L11" s="56">
        <f>'IS Assumptions'!L29</f>
        <v>30458.183413413622</v>
      </c>
      <c r="M11" s="2"/>
    </row>
    <row r="12" spans="1:17" ht="15.75" thickTop="1" x14ac:dyDescent="0.25">
      <c r="B12" s="19" t="s">
        <v>283</v>
      </c>
      <c r="C12" s="20">
        <v>6454</v>
      </c>
      <c r="D12" s="21">
        <v>7046</v>
      </c>
      <c r="E12" s="21">
        <v>7719</v>
      </c>
      <c r="F12" s="21">
        <v>8131</v>
      </c>
      <c r="G12" s="21">
        <v>7940</v>
      </c>
      <c r="H12" s="164">
        <f>'IS Assumptions'!H33</f>
        <v>8822.2366734085736</v>
      </c>
      <c r="I12" s="164">
        <f>'IS Assumptions'!I33</f>
        <v>9611.5229234362796</v>
      </c>
      <c r="J12" s="164">
        <f>'IS Assumptions'!J33</f>
        <v>10463.706628026326</v>
      </c>
      <c r="K12" s="164">
        <f>'IS Assumptions'!K33</f>
        <v>11328.951189419791</v>
      </c>
      <c r="L12" s="164">
        <f>'IS Assumptions'!L33</f>
        <v>12394.86636836772</v>
      </c>
      <c r="M12" s="3"/>
    </row>
    <row r="13" spans="1:17" ht="15.75" thickBot="1" x14ac:dyDescent="0.3">
      <c r="B13" s="130" t="s">
        <v>261</v>
      </c>
      <c r="C13" s="136">
        <f>C11-C12</f>
        <v>10017</v>
      </c>
      <c r="D13" s="136">
        <f>D11-D12</f>
        <v>10375</v>
      </c>
      <c r="E13" s="136">
        <f>E11-E12</f>
        <v>10248</v>
      </c>
      <c r="F13" s="136">
        <f>F11-F12</f>
        <v>11326</v>
      </c>
      <c r="G13" s="136">
        <f>G11-G12</f>
        <v>12161</v>
      </c>
      <c r="H13" s="136">
        <f t="shared" ref="H13:L13" si="1">H11-H12</f>
        <v>12813.442538209714</v>
      </c>
      <c r="I13" s="136">
        <f t="shared" si="1"/>
        <v>13777.139094080683</v>
      </c>
      <c r="J13" s="136">
        <f t="shared" si="1"/>
        <v>14918.442785569716</v>
      </c>
      <c r="K13" s="136">
        <f t="shared" si="1"/>
        <v>16385.658405244409</v>
      </c>
      <c r="L13" s="136">
        <f t="shared" si="1"/>
        <v>18063.3170450459</v>
      </c>
      <c r="M13" s="3"/>
    </row>
    <row r="14" spans="1:17" ht="16.5" thickTop="1" thickBot="1" x14ac:dyDescent="0.3">
      <c r="B14" s="16" t="s">
        <v>284</v>
      </c>
      <c r="C14" s="14">
        <v>6019</v>
      </c>
      <c r="D14" s="15">
        <v>6407</v>
      </c>
      <c r="E14" s="15">
        <v>6565</v>
      </c>
      <c r="F14" s="15">
        <v>7151</v>
      </c>
      <c r="G14" s="15">
        <v>7729</v>
      </c>
      <c r="H14" s="57">
        <f>'IS Assumptions'!H37</f>
        <v>8007.9421684281151</v>
      </c>
      <c r="I14" s="57">
        <f>'IS Assumptions'!I37</f>
        <v>8678.7370007631744</v>
      </c>
      <c r="J14" s="57">
        <f>'IS Assumptions'!J37</f>
        <v>9435.1612585121129</v>
      </c>
      <c r="K14" s="57">
        <f>'IS Assumptions'!K37</f>
        <v>10337.292089597933</v>
      </c>
      <c r="L14" s="57">
        <f>'IS Assumptions'!L37</f>
        <v>11393.894126056606</v>
      </c>
      <c r="M14" s="3"/>
    </row>
    <row r="15" spans="1:17" ht="16.5" thickTop="1" thickBot="1" x14ac:dyDescent="0.3">
      <c r="B15" s="16" t="s">
        <v>278</v>
      </c>
      <c r="C15" s="14">
        <v>113</v>
      </c>
      <c r="D15" s="15">
        <v>65</v>
      </c>
      <c r="E15" s="15">
        <v>69</v>
      </c>
      <c r="F15" s="15">
        <v>191</v>
      </c>
      <c r="G15" s="15">
        <v>164</v>
      </c>
      <c r="H15" s="57">
        <f>'IS Assumptions'!H39</f>
        <v>140.23105954608329</v>
      </c>
      <c r="I15" s="57">
        <f>'IS Assumptions'!I39</f>
        <v>149.81978001620249</v>
      </c>
      <c r="J15" s="57">
        <f>'IS Assumptions'!J39</f>
        <v>176.16643998708261</v>
      </c>
      <c r="K15" s="57">
        <f>'IS Assumptions'!K39</f>
        <v>209.53914248421694</v>
      </c>
      <c r="L15" s="57">
        <f>'IS Assumptions'!L39</f>
        <v>216.53999173259635</v>
      </c>
      <c r="M15" s="3"/>
    </row>
    <row r="16" spans="1:17" ht="15.75" thickTop="1" x14ac:dyDescent="0.25">
      <c r="B16" s="19" t="s">
        <v>285</v>
      </c>
      <c r="C16" s="22">
        <v>0</v>
      </c>
      <c r="D16" s="21">
        <v>571</v>
      </c>
      <c r="E16" s="21">
        <v>721</v>
      </c>
      <c r="F16" s="22">
        <v>0</v>
      </c>
      <c r="G16" s="22">
        <v>0</v>
      </c>
      <c r="H16" s="22">
        <v>0</v>
      </c>
      <c r="I16" s="22">
        <v>0</v>
      </c>
      <c r="J16" s="22">
        <v>0</v>
      </c>
      <c r="K16" s="22">
        <v>0</v>
      </c>
      <c r="L16" s="22">
        <v>0</v>
      </c>
      <c r="M16" s="4"/>
    </row>
    <row r="17" spans="1:19" ht="15.75" thickBot="1" x14ac:dyDescent="0.3">
      <c r="B17" s="130" t="s">
        <v>142</v>
      </c>
      <c r="C17" s="136">
        <f t="shared" ref="C17:L17" si="2">C13-SUM(C14:C16)</f>
        <v>3885</v>
      </c>
      <c r="D17" s="136">
        <f t="shared" si="2"/>
        <v>3332</v>
      </c>
      <c r="E17" s="136">
        <f t="shared" si="2"/>
        <v>2893</v>
      </c>
      <c r="F17" s="136">
        <f t="shared" si="2"/>
        <v>3984</v>
      </c>
      <c r="G17" s="136">
        <f t="shared" si="2"/>
        <v>4268</v>
      </c>
      <c r="H17" s="136">
        <f t="shared" si="2"/>
        <v>4665.2693102355161</v>
      </c>
      <c r="I17" s="136">
        <f t="shared" si="2"/>
        <v>4948.5823133013055</v>
      </c>
      <c r="J17" s="136">
        <f t="shared" si="2"/>
        <v>5307.1150870705205</v>
      </c>
      <c r="K17" s="136">
        <f t="shared" si="2"/>
        <v>5838.827173162259</v>
      </c>
      <c r="L17" s="136">
        <f t="shared" si="2"/>
        <v>6452.8829272566982</v>
      </c>
      <c r="M17" s="3"/>
    </row>
    <row r="18" spans="1:19" ht="16.5" thickTop="1" thickBot="1" x14ac:dyDescent="0.3">
      <c r="B18" s="16" t="s">
        <v>279</v>
      </c>
      <c r="C18" s="14">
        <v>74</v>
      </c>
      <c r="D18" s="15">
        <v>70</v>
      </c>
      <c r="E18" s="15">
        <v>80</v>
      </c>
      <c r="F18" s="15">
        <v>360</v>
      </c>
      <c r="G18" s="15">
        <v>87</v>
      </c>
      <c r="H18" s="57">
        <f>'IS Assumptions'!H41</f>
        <v>154.88538254950475</v>
      </c>
      <c r="I18" s="57">
        <f>'IS Assumptions'!I41</f>
        <v>179.90569353497474</v>
      </c>
      <c r="J18" s="57">
        <f>'IS Assumptions'!J41</f>
        <v>213.88972803972172</v>
      </c>
      <c r="K18" s="57">
        <f>'IS Assumptions'!K41</f>
        <v>255.57336545574222</v>
      </c>
      <c r="L18" s="57">
        <f>'IS Assumptions'!L41</f>
        <v>224.33872128391454</v>
      </c>
      <c r="M18" s="3"/>
    </row>
    <row r="19" spans="1:19" ht="15.75" thickTop="1" x14ac:dyDescent="0.25">
      <c r="B19" s="19" t="s">
        <v>280</v>
      </c>
      <c r="C19" s="20">
        <v>164</v>
      </c>
      <c r="D19" s="21">
        <v>175</v>
      </c>
      <c r="E19" s="21">
        <v>153</v>
      </c>
      <c r="F19" s="21">
        <v>232</v>
      </c>
      <c r="G19" s="21">
        <v>225</v>
      </c>
      <c r="H19" s="164">
        <f>'Debt Schedule'!H47</f>
        <v>246</v>
      </c>
      <c r="I19" s="164">
        <f>'Debt Schedule'!I47</f>
        <v>196</v>
      </c>
      <c r="J19" s="164">
        <f>'Debt Schedule'!J47</f>
        <v>162</v>
      </c>
      <c r="K19" s="164">
        <f>'Debt Schedule'!K47</f>
        <v>148</v>
      </c>
      <c r="L19" s="164">
        <f>'Debt Schedule'!L47</f>
        <v>122</v>
      </c>
      <c r="M19" s="3"/>
      <c r="N19" s="6" t="s">
        <v>207</v>
      </c>
    </row>
    <row r="20" spans="1:19" ht="15.75" thickBot="1" x14ac:dyDescent="0.3">
      <c r="B20" s="130" t="s">
        <v>289</v>
      </c>
      <c r="C20" s="136">
        <f t="shared" ref="C20:L20" si="3">C17-SUM(C18:C19)</f>
        <v>3647</v>
      </c>
      <c r="D20" s="136">
        <f t="shared" si="3"/>
        <v>3087</v>
      </c>
      <c r="E20" s="136">
        <f t="shared" si="3"/>
        <v>2660</v>
      </c>
      <c r="F20" s="136">
        <f t="shared" si="3"/>
        <v>3392</v>
      </c>
      <c r="G20" s="136">
        <f t="shared" si="3"/>
        <v>3956</v>
      </c>
      <c r="H20" s="136">
        <f t="shared" si="3"/>
        <v>4264.3839276860117</v>
      </c>
      <c r="I20" s="136">
        <f t="shared" si="3"/>
        <v>4572.676619766331</v>
      </c>
      <c r="J20" s="136">
        <f t="shared" si="3"/>
        <v>4931.2253590307992</v>
      </c>
      <c r="K20" s="136">
        <f t="shared" si="3"/>
        <v>5435.2538077065165</v>
      </c>
      <c r="L20" s="136">
        <f t="shared" si="3"/>
        <v>6106.5442059727839</v>
      </c>
      <c r="M20" s="3"/>
      <c r="N20" s="6"/>
    </row>
    <row r="21" spans="1:19" ht="15.75" thickTop="1" x14ac:dyDescent="0.25">
      <c r="B21" s="19" t="s">
        <v>286</v>
      </c>
      <c r="C21" s="20">
        <v>787</v>
      </c>
      <c r="D21" s="21">
        <v>749</v>
      </c>
      <c r="E21" s="21">
        <v>693</v>
      </c>
      <c r="F21" s="21">
        <v>937</v>
      </c>
      <c r="G21" s="21">
        <v>907</v>
      </c>
      <c r="H21" s="164">
        <f>'IS Assumptions'!H43</f>
        <v>1044.3141091256325</v>
      </c>
      <c r="I21" s="164">
        <f>'IS Assumptions'!I43</f>
        <v>1119.8125664736096</v>
      </c>
      <c r="J21" s="164">
        <f>'IS Assumptions'!J43</f>
        <v>1207.6183348032623</v>
      </c>
      <c r="K21" s="164">
        <f>'IS Assumptions'!K43</f>
        <v>1331.0509406095546</v>
      </c>
      <c r="L21" s="164">
        <f>'IS Assumptions'!L43</f>
        <v>1495.4446833208103</v>
      </c>
      <c r="M21" s="3"/>
      <c r="N21" s="6"/>
    </row>
    <row r="22" spans="1:19" ht="15.75" thickBot="1" x14ac:dyDescent="0.3">
      <c r="B22" s="130" t="s">
        <v>281</v>
      </c>
      <c r="C22" s="136">
        <f t="shared" ref="C22:L22" si="4">C20-C21</f>
        <v>2860</v>
      </c>
      <c r="D22" s="136">
        <f t="shared" si="4"/>
        <v>2338</v>
      </c>
      <c r="E22" s="136">
        <f t="shared" si="4"/>
        <v>1967</v>
      </c>
      <c r="F22" s="136">
        <f t="shared" si="4"/>
        <v>2455</v>
      </c>
      <c r="G22" s="136">
        <f t="shared" si="4"/>
        <v>3049</v>
      </c>
      <c r="H22" s="136">
        <f t="shared" si="4"/>
        <v>3220.0698185603792</v>
      </c>
      <c r="I22" s="136">
        <f t="shared" si="4"/>
        <v>3452.8640532927211</v>
      </c>
      <c r="J22" s="136">
        <f t="shared" si="4"/>
        <v>3723.6070242275368</v>
      </c>
      <c r="K22" s="136">
        <f t="shared" si="4"/>
        <v>4104.2028670969621</v>
      </c>
      <c r="L22" s="136">
        <f t="shared" si="4"/>
        <v>4611.0995226519735</v>
      </c>
      <c r="M22" s="3"/>
      <c r="N22" s="6"/>
    </row>
    <row r="23" spans="1:19" ht="15.75" thickTop="1" x14ac:dyDescent="0.25">
      <c r="B23" s="19" t="s">
        <v>287</v>
      </c>
      <c r="C23" s="20">
        <v>165</v>
      </c>
      <c r="D23" s="21">
        <v>172</v>
      </c>
      <c r="E23" s="21">
        <v>182</v>
      </c>
      <c r="F23" s="21">
        <v>155</v>
      </c>
      <c r="G23" s="21">
        <v>160</v>
      </c>
      <c r="H23" s="164">
        <f>'IS Assumptions'!H45</f>
        <v>168.97709772701234</v>
      </c>
      <c r="I23" s="164">
        <f>'IS Assumptions'!I45</f>
        <v>181.19325960211066</v>
      </c>
      <c r="J23" s="164">
        <f>'IS Assumptions'!J45</f>
        <v>195.40082777186154</v>
      </c>
      <c r="K23" s="164">
        <f>'IS Assumptions'!K45</f>
        <v>215.37305960495701</v>
      </c>
      <c r="L23" s="164">
        <f>'IS Assumptions'!L45</f>
        <v>241.97308088695169</v>
      </c>
      <c r="M23" s="3"/>
      <c r="N23" s="6"/>
    </row>
    <row r="24" spans="1:19" ht="15.75" thickBot="1" x14ac:dyDescent="0.3">
      <c r="B24" s="183" t="s">
        <v>288</v>
      </c>
      <c r="C24" s="184">
        <f t="shared" ref="C24:L24" si="5">C22-C23</f>
        <v>2695</v>
      </c>
      <c r="D24" s="184">
        <f t="shared" si="5"/>
        <v>2166</v>
      </c>
      <c r="E24" s="184">
        <f t="shared" si="5"/>
        <v>1785</v>
      </c>
      <c r="F24" s="184">
        <f t="shared" si="5"/>
        <v>2300</v>
      </c>
      <c r="G24" s="184">
        <f t="shared" si="5"/>
        <v>2889</v>
      </c>
      <c r="H24" s="184">
        <f t="shared" si="5"/>
        <v>3051.0927208333669</v>
      </c>
      <c r="I24" s="184">
        <f t="shared" si="5"/>
        <v>3271.6707936906105</v>
      </c>
      <c r="J24" s="184">
        <f t="shared" si="5"/>
        <v>3528.2061964556751</v>
      </c>
      <c r="K24" s="184">
        <f t="shared" si="5"/>
        <v>3888.8298074920049</v>
      </c>
      <c r="L24" s="184">
        <f t="shared" si="5"/>
        <v>4369.1264417650218</v>
      </c>
      <c r="M24" s="2"/>
      <c r="N24" s="6"/>
    </row>
    <row r="25" spans="1:19" ht="16.5" thickTop="1" thickBot="1" x14ac:dyDescent="0.3">
      <c r="B25" s="4" t="s">
        <v>268</v>
      </c>
      <c r="C25" s="7"/>
      <c r="D25" s="108"/>
      <c r="E25" s="108"/>
      <c r="F25" s="108"/>
      <c r="G25" s="108"/>
      <c r="H25" s="108"/>
      <c r="I25" s="108"/>
      <c r="J25" s="108"/>
      <c r="K25" s="108"/>
      <c r="L25" s="108"/>
      <c r="M25" s="2"/>
      <c r="N25" s="6"/>
      <c r="P25" s="6"/>
      <c r="Q25" s="6"/>
      <c r="R25" s="6"/>
      <c r="S25" s="6"/>
    </row>
    <row r="26" spans="1:19" ht="16.5" thickTop="1" thickBot="1" x14ac:dyDescent="0.3">
      <c r="B26" s="16" t="s">
        <v>265</v>
      </c>
      <c r="C26" s="17">
        <v>3.15</v>
      </c>
      <c r="D26" s="18">
        <v>2.56</v>
      </c>
      <c r="E26" s="18">
        <v>2.13</v>
      </c>
      <c r="F26" s="18">
        <v>2.78</v>
      </c>
      <c r="G26" s="18">
        <v>3.53</v>
      </c>
      <c r="H26" s="60">
        <f>H24/'Equity Schedule'!H51</f>
        <v>3.772174392457821</v>
      </c>
      <c r="I26" s="60">
        <f>I24/'Equity Schedule'!I51</f>
        <v>4.1015399264438352</v>
      </c>
      <c r="J26" s="60">
        <f>J24/'Equity Schedule'!J51</f>
        <v>4.4871373127051148</v>
      </c>
      <c r="K26" s="60">
        <f>K24/'Equity Schedule'!K51</f>
        <v>5.0162130710885444</v>
      </c>
      <c r="L26" s="60">
        <f>L24/'Equity Schedule'!L51</f>
        <v>5.7169365730660564</v>
      </c>
      <c r="M26" s="5"/>
      <c r="N26" s="6" t="s">
        <v>236</v>
      </c>
      <c r="P26" s="6"/>
      <c r="Q26" s="6"/>
      <c r="R26" s="6"/>
      <c r="S26" s="6"/>
    </row>
    <row r="27" spans="1:19" ht="16.5" thickTop="1" thickBot="1" x14ac:dyDescent="0.3">
      <c r="B27" s="16" t="s">
        <v>282</v>
      </c>
      <c r="C27" s="17">
        <v>3.14</v>
      </c>
      <c r="D27" s="18">
        <v>2.5499999999999998</v>
      </c>
      <c r="E27" s="18">
        <v>2.13</v>
      </c>
      <c r="F27" s="18">
        <v>2.77</v>
      </c>
      <c r="G27" s="18">
        <v>3.51</v>
      </c>
      <c r="H27" s="60">
        <f>MIN(H26,H24/'Equity Schedule'!H53)</f>
        <v>3.7556290600044306</v>
      </c>
      <c r="I27" s="60">
        <f>MIN(I26,I24/'Equity Schedule'!I53)</f>
        <v>4.083299079979863</v>
      </c>
      <c r="J27" s="60">
        <f>MIN(J26,J24/'Equity Schedule'!J53)</f>
        <v>4.4658827442872155</v>
      </c>
      <c r="K27" s="60">
        <f>MIN(K26,K24/'Equity Schedule'!K53)</f>
        <v>4.9928799916050073</v>
      </c>
      <c r="L27" s="60">
        <f>MIN(L26,L24/'Equity Schedule'!L53)</f>
        <v>5.6898154929307152</v>
      </c>
      <c r="M27" s="5"/>
      <c r="N27" s="6" t="s">
        <v>236</v>
      </c>
      <c r="P27" s="6"/>
      <c r="Q27" s="6"/>
      <c r="R27" s="6"/>
      <c r="S27" s="6"/>
    </row>
    <row r="28" spans="1:19" ht="15.75" thickTop="1" x14ac:dyDescent="0.25">
      <c r="D28" s="108"/>
      <c r="E28" s="108"/>
      <c r="F28" s="108"/>
      <c r="G28" s="108"/>
      <c r="H28" s="108"/>
      <c r="I28" s="108"/>
      <c r="J28" s="108"/>
      <c r="K28" s="108"/>
      <c r="L28" s="108"/>
    </row>
    <row r="29" spans="1:19" x14ac:dyDescent="0.25">
      <c r="B29" s="23" t="s">
        <v>22</v>
      </c>
      <c r="H29" s="168"/>
      <c r="I29" s="168"/>
      <c r="J29" s="168"/>
      <c r="K29" s="168"/>
      <c r="L29" s="168"/>
    </row>
    <row r="30" spans="1:19" x14ac:dyDescent="0.25">
      <c r="A30" s="29" t="s">
        <v>348</v>
      </c>
      <c r="B30" t="s">
        <v>23</v>
      </c>
      <c r="H30" s="168"/>
      <c r="I30" s="168"/>
      <c r="J30" s="168"/>
      <c r="K30" s="168"/>
      <c r="L30" s="168"/>
    </row>
  </sheetData>
  <mergeCells count="2">
    <mergeCell ref="C9:G9"/>
    <mergeCell ref="H9:L9"/>
  </mergeCells>
  <pageMargins left="0.7" right="0.7" top="0.75" bottom="0.75" header="0.3" footer="0.3"/>
  <pageSetup scale="77" orientation="landscape" r:id="rId1"/>
  <ignoredErrors>
    <ignoredError sqref="H23:L2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Cover Page</vt:lpstr>
      <vt:lpstr>Index</vt:lpstr>
      <vt:lpstr>Business Summary</vt:lpstr>
      <vt:lpstr>Valuation Summary</vt:lpstr>
      <vt:lpstr>Football Field Analysis</vt:lpstr>
      <vt:lpstr>FS Summary</vt:lpstr>
      <vt:lpstr>Key Ratios</vt:lpstr>
      <vt:lpstr>Historical and Forecasted FS&gt;&gt;</vt:lpstr>
      <vt:lpstr>IS</vt:lpstr>
      <vt:lpstr>BS</vt:lpstr>
      <vt:lpstr>CFS</vt:lpstr>
      <vt:lpstr>Assumptions&gt;&gt;</vt:lpstr>
      <vt:lpstr>IS Assumptions</vt:lpstr>
      <vt:lpstr>BS Assumptions </vt:lpstr>
      <vt:lpstr>Equity Schedule</vt:lpstr>
      <vt:lpstr>Debt Schedule</vt:lpstr>
      <vt:lpstr>Income Approach</vt:lpstr>
      <vt:lpstr>DCF</vt:lpstr>
      <vt:lpstr>WACC</vt:lpstr>
      <vt:lpstr>Beta</vt:lpstr>
      <vt:lpstr>Risk Free Rate</vt:lpstr>
      <vt:lpstr>Notes</vt:lpstr>
      <vt:lpstr>working</vt:lpstr>
      <vt:lpstr>Market Approach</vt:lpstr>
      <vt:lpstr>GPC</vt:lpstr>
      <vt:lpstr>Cost Approach</vt:lpstr>
      <vt:lpstr>NAV</vt:lpstr>
      <vt:lpstr>Charts</vt:lpstr>
      <vt:lpstr>Beta!Print_Area</vt:lpstr>
      <vt:lpstr>BS!Print_Area</vt:lpstr>
      <vt:lpstr>'BS Assumptions '!Print_Area</vt:lpstr>
      <vt:lpstr>'Business Summary'!Print_Area</vt:lpstr>
      <vt:lpstr>CFS!Print_Area</vt:lpstr>
      <vt:lpstr>Charts!Print_Area</vt:lpstr>
      <vt:lpstr>'Cover Page'!Print_Area</vt:lpstr>
      <vt:lpstr>DCF!Print_Area</vt:lpstr>
      <vt:lpstr>'Debt Schedule'!Print_Area</vt:lpstr>
      <vt:lpstr>'Equity Schedule'!Print_Area</vt:lpstr>
      <vt:lpstr>'Football Field Analysis'!Print_Area</vt:lpstr>
      <vt:lpstr>'FS Summary'!Print_Area</vt:lpstr>
      <vt:lpstr>GPC!Print_Area</vt:lpstr>
      <vt:lpstr>Index!Print_Area</vt:lpstr>
      <vt:lpstr>IS!Print_Area</vt:lpstr>
      <vt:lpstr>'IS Assumptions'!Print_Area</vt:lpstr>
      <vt:lpstr>'Key Ratios'!Print_Area</vt:lpstr>
      <vt:lpstr>NAV!Print_Area</vt:lpstr>
      <vt:lpstr>'Risk Free Rate'!Print_Area</vt:lpstr>
      <vt:lpstr>'Valuation Summary'!Print_Area</vt:lpstr>
      <vt:lpstr>WACC!Print_Area</vt:lpstr>
      <vt:lpstr>BS!Print_Titles</vt:lpstr>
      <vt:lpstr>'BS Assumptions '!Print_Titles</vt:lpstr>
      <vt:lpstr>Charts!Print_Titles</vt:lpstr>
      <vt:lpstr>DCF!Print_Titles</vt:lpstr>
      <vt:lpstr>'IS Assumptions'!Print_Titles</vt:lpstr>
      <vt:lpstr>'Risk Free Rate'!Print_Titles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 Mahmood</dc:creator>
  <cp:lastModifiedBy>Acer</cp:lastModifiedBy>
  <cp:lastPrinted>2024-09-10T12:48:12Z</cp:lastPrinted>
  <dcterms:created xsi:type="dcterms:W3CDTF">2024-06-10T19:29:38Z</dcterms:created>
  <dcterms:modified xsi:type="dcterms:W3CDTF">2025-03-25T07:12:15Z</dcterms:modified>
</cp:coreProperties>
</file>